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nationalgridplc.sharepoint.com/sites/GRP-INT-UK-ETFinanceBusinessPartner/Shared Documents/Revenue &amp; Regulation/RIIO-2 Regulatory Reporting/RFPR/2021-22/05 Website publication versions/"/>
    </mc:Choice>
  </mc:AlternateContent>
  <xr:revisionPtr revIDLastSave="31" documentId="13_ncr:1_{6791795F-1589-4F8D-81C3-2C2E60BAB3F2}" xr6:coauthVersionLast="47" xr6:coauthVersionMax="47" xr10:uidLastSave="{B4ECE157-AC78-40C2-9B6C-CF905A43F4E5}"/>
  <workbookProtection workbookAlgorithmName="SHA-512" workbookHashValue="Vao/67f/Z9YAHitRAH5PGPQbgf6n+q3VDcFvlAlWgbCCKkzusAZ2Xw95ZmDoUclwg9ef2zsA+NcMZgQrzM2aVg==" workbookSaltValue="sd8cMfyXgCjAvVkUiuCtAQ==" workbookSpinCount="100000" lockStructure="1"/>
  <bookViews>
    <workbookView xWindow="-110" yWindow="-110" windowWidth="19420" windowHeight="10420" tabRatio="827" firstSheet="8" activeTab="10"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0" state="hidden" r:id="rId10"/>
    <sheet name="R6 - Net Debt" sheetId="27" r:id="rId11"/>
    <sheet name="R6a - Net Debt input" sheetId="31" state="hidden" r:id="rId12"/>
    <sheet name="R7 - RAV" sheetId="10" r:id="rId13"/>
    <sheet name="R8 - Tax" sheetId="29" r:id="rId14"/>
    <sheet name="R8a - Tax Reconciliation" sheetId="35" state="hidden" r:id="rId15"/>
    <sheet name="R9 - Corporate Governance" sheetId="11" r:id="rId16"/>
    <sheet name="R10 - Pensions &amp; Oth Activities" sheetId="19"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4"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4">'[2]R1 - RoRE'!$D$60:$H$60</definedName>
    <definedName name="Business_Plan_Incentive">'R1 - RoRE'!$D$67:$H$67</definedName>
    <definedName name="calendar_year" localSheetId="14">[2]Data!$E$25:$L$25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4">[2]Data!$C$18:$N$18</definedName>
    <definedName name="Corporate_Tax">Data!$C$18:$N$18</definedName>
    <definedName name="Cost_of_Equity" localSheetId="14">[2]Data!$C$6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4">'[2]R1 - RoRE'!$D$74:$H$74</definedName>
    <definedName name="Debt_performance___at_notional_gearing">'R1 - RoRE'!$D$84:$H$84</definedName>
    <definedName name="Debt_performance___impact_of_actual_gearing" localSheetId="14">'[2]R1 -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4">'[2]R1 - RoRE'!$D$81:$H$81</definedName>
    <definedName name="Equity_RAV_based_on_actual_gearing">'R1 - RoRE'!$D$91:$H$91</definedName>
    <definedName name="Equity_Return_on_the_RAV" localSheetId="14">'[2]R1 -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4">[2]Data!$F$7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4">[2]Data!$C$8</definedName>
    <definedName name="Notional_Gearing">Data!$C$8</definedName>
    <definedName name="NPV_neutral_equity_element_of_RAV" localSheetId="14">'[2]R1 - RoRE'!$D$80:$H$80</definedName>
    <definedName name="NPV_neutral_equity_element_of_RAV">'R1 - RoRE'!$D$90:$H$90</definedName>
    <definedName name="ODI_1" localSheetId="14">'[2]R1 - RoRE'!$D$61:$H$61</definedName>
    <definedName name="ODI_1">'R1 - RoRE'!$D$68:$H$68</definedName>
    <definedName name="ODI_2" localSheetId="14">'[2]R1 - RoRE'!$D$62:$H$62</definedName>
    <definedName name="ODI_2">'R1 - RoRE'!$D$69:$H$69</definedName>
    <definedName name="ODI_3" localSheetId="14">'[2]R1 - RoRE'!$D$63:$H$63</definedName>
    <definedName name="ODI_3">'R1 - RoRE'!$D$70:$H$70</definedName>
    <definedName name="ODI_4" localSheetId="14">'[2]R1 - RoRE'!$D$64:$H$64</definedName>
    <definedName name="ODI_4">'R1 - RoRE'!$D$71:$H$71</definedName>
    <definedName name="ODI_5" localSheetId="14">'[2]R1 - RoRE'!$D$65:$H$65</definedName>
    <definedName name="ODI_5">'R1 - RoRE'!$D$72:$H$72</definedName>
    <definedName name="ODI_6" localSheetId="14">'[2]R1 - RoRE'!$D$66:$H$66</definedName>
    <definedName name="ODI_6">'R1 - RoRE'!$D$73:$H$73</definedName>
    <definedName name="OOEE">'[1]R5 Input Page'!$G$103:$N$103</definedName>
    <definedName name="ORA_1" localSheetId="14">'[2]R1 - RoRE'!$D$67:$H$67</definedName>
    <definedName name="ORA_1">'R1 - RoRE'!$D$74:$H$74</definedName>
    <definedName name="ORA_2" localSheetId="14">'[2]R1 - RoRE'!$D$68:$H$68</definedName>
    <definedName name="ORA_2">'R1 - RoRE'!$D$75:$H$75</definedName>
    <definedName name="ORA_3" localSheetId="14">'[2]R1 - RoRE'!$D$69:$H$69</definedName>
    <definedName name="ORA_3">'R1 - RoRE'!$D$76:$H$76</definedName>
    <definedName name="ORA_4" localSheetId="14">'[2]R1 - RoRE'!$D$70:$H$70</definedName>
    <definedName name="ORA_4">'R1 - RoRE'!$D$77:$H$77</definedName>
    <definedName name="ORA_5" localSheetId="14">'[2]R1 -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4">'[2]R1 -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Profit'!$A$1:$J$59</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'R5a - Financing input'!$A$4:$AK$916</definedName>
    <definedName name="_xlnm.Print_Area" localSheetId="10">'R6 - Net Debt'!$A$1:$I$53</definedName>
    <definedName name="_xlnm.Print_Area" localSheetId="11">'R6a - Net Debt input'!$A$4:$AI$604</definedName>
    <definedName name="_xlnm.Print_Area" localSheetId="12">'R7 - RAV'!$A$1:$J$38</definedName>
    <definedName name="_xlnm.Print_Area" localSheetId="13">'R8 - Tax'!$A$1:$J$42</definedName>
    <definedName name="_xlnm.Print_Area" localSheetId="14">'R8a - Tax Reconciliation'!$A$1:$M$100</definedName>
    <definedName name="_xlnm.Print_Area" localSheetId="15">'R9 - Corporate Governance'!$A$1:$I$18</definedName>
    <definedName name="_xlnm.Print_Area" localSheetId="0">'RFPR cover'!$A$2:$K$82</definedName>
    <definedName name="_xlnm.Print_Titles" localSheetId="9">'R5a - Financing input'!$4:$9</definedName>
    <definedName name="_xlnm.Print_Titles" localSheetId="11">'R6a - Net Debt input'!$4:$9</definedName>
    <definedName name="_xlnm.Print_Titles" localSheetId="14">'R8a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4">[2]Data!$E$26:$L$26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4">[2]Data!$C$9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4">'[2]RFPR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4">'R8a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4">'[2]R1 - RoRE'!$D$76:$H$76</definedName>
    <definedName name="Tax_performance___at_notional_gearing">'R1 - RoRE'!$D$86:$H$86</definedName>
    <definedName name="Tax_performance___impact_of_actual_gearing" localSheetId="14">'[2]R1 -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4">'[2]R1 -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4">[2]Data!$E$27:$L$27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0" l="1"/>
  <c r="H190" i="2" l="1"/>
  <c r="G190" i="2"/>
  <c r="F190" i="2"/>
  <c r="E190" i="2"/>
  <c r="D190" i="2"/>
  <c r="K16" i="28" l="1"/>
  <c r="L16" i="28" s="1"/>
  <c r="M16" i="28" s="1"/>
  <c r="N16" i="28" s="1"/>
  <c r="H26" i="28"/>
  <c r="D47" i="11" l="1"/>
  <c r="J28" i="2" l="1"/>
  <c r="J27" i="2"/>
  <c r="J26" i="2"/>
  <c r="J25" i="2"/>
  <c r="J24" i="2"/>
  <c r="N219" i="30" l="1"/>
  <c r="O219" i="30"/>
  <c r="P219" i="30"/>
  <c r="Q219" i="30"/>
  <c r="R219" i="30"/>
  <c r="S219" i="30"/>
  <c r="T219" i="30"/>
  <c r="U219" i="30"/>
  <c r="V219" i="30"/>
  <c r="C385" i="30"/>
  <c r="D385" i="30"/>
  <c r="E385" i="30"/>
  <c r="C386" i="30"/>
  <c r="D386" i="30"/>
  <c r="E386" i="30"/>
  <c r="C387" i="30"/>
  <c r="D387" i="30"/>
  <c r="E387" i="30"/>
  <c r="C388" i="30"/>
  <c r="D388" i="30"/>
  <c r="E388" i="30"/>
  <c r="C389" i="30"/>
  <c r="D389" i="30"/>
  <c r="E389" i="30"/>
  <c r="C82" i="30"/>
  <c r="D82" i="30"/>
  <c r="E82" i="30"/>
  <c r="F82" i="30"/>
  <c r="G82" i="30"/>
  <c r="H82" i="30"/>
  <c r="I82" i="30"/>
  <c r="C83" i="30"/>
  <c r="D83" i="30"/>
  <c r="E83" i="30"/>
  <c r="F83" i="30"/>
  <c r="G83" i="30"/>
  <c r="H83" i="30"/>
  <c r="I83" i="30"/>
  <c r="C84" i="30"/>
  <c r="D84" i="30"/>
  <c r="E84" i="30"/>
  <c r="F84" i="30"/>
  <c r="G84" i="30"/>
  <c r="H84" i="30"/>
  <c r="I84" i="30"/>
  <c r="I81" i="30"/>
  <c r="H81" i="30"/>
  <c r="G81" i="30"/>
  <c r="F81" i="30"/>
  <c r="E81" i="30"/>
  <c r="D81" i="30"/>
  <c r="C81" i="30"/>
  <c r="I80" i="30"/>
  <c r="H80" i="30"/>
  <c r="G80" i="30"/>
  <c r="F80" i="30"/>
  <c r="E80" i="30"/>
  <c r="D80" i="30"/>
  <c r="C80" i="30"/>
  <c r="I79" i="30"/>
  <c r="H79" i="30"/>
  <c r="G79" i="30"/>
  <c r="F79" i="30"/>
  <c r="E79" i="30"/>
  <c r="D79" i="30"/>
  <c r="C79" i="30"/>
  <c r="I78" i="30"/>
  <c r="H78" i="30"/>
  <c r="G78" i="30"/>
  <c r="F78" i="30"/>
  <c r="E78" i="30"/>
  <c r="D78" i="30"/>
  <c r="C78" i="30"/>
  <c r="I77" i="30"/>
  <c r="H77" i="30"/>
  <c r="G77" i="30"/>
  <c r="F77" i="30"/>
  <c r="E77" i="30"/>
  <c r="D77" i="30"/>
  <c r="C77" i="30"/>
  <c r="I76" i="30"/>
  <c r="H76" i="30"/>
  <c r="G76" i="30"/>
  <c r="F76" i="30"/>
  <c r="E76" i="30"/>
  <c r="D76" i="30"/>
  <c r="C76" i="30"/>
  <c r="I75" i="30"/>
  <c r="H75" i="30"/>
  <c r="G75" i="30"/>
  <c r="F75" i="30"/>
  <c r="E75" i="30"/>
  <c r="D75" i="30"/>
  <c r="C75" i="30"/>
  <c r="I74" i="30"/>
  <c r="H74" i="30"/>
  <c r="G74" i="30"/>
  <c r="F74" i="30"/>
  <c r="E74" i="30"/>
  <c r="D74" i="30"/>
  <c r="C74" i="30"/>
  <c r="I73" i="30"/>
  <c r="H73" i="30"/>
  <c r="G73" i="30"/>
  <c r="F73" i="30"/>
  <c r="E73" i="30"/>
  <c r="D73" i="30"/>
  <c r="C73" i="30"/>
  <c r="I72" i="30"/>
  <c r="H72" i="30"/>
  <c r="G72" i="30"/>
  <c r="F72" i="30"/>
  <c r="E72" i="30"/>
  <c r="D72" i="30"/>
  <c r="C72" i="30"/>
  <c r="I71" i="30"/>
  <c r="H71" i="30"/>
  <c r="G71" i="30"/>
  <c r="F71" i="30"/>
  <c r="E71" i="30"/>
  <c r="D71" i="30"/>
  <c r="C71" i="30"/>
  <c r="I70" i="30"/>
  <c r="H70" i="30"/>
  <c r="G70" i="30"/>
  <c r="F70" i="30"/>
  <c r="E70" i="30"/>
  <c r="D70" i="30"/>
  <c r="C70" i="30"/>
  <c r="I69" i="30"/>
  <c r="H69" i="30"/>
  <c r="G69" i="30"/>
  <c r="F69" i="30"/>
  <c r="E69" i="30"/>
  <c r="D69" i="30"/>
  <c r="C69" i="30"/>
  <c r="I68" i="30"/>
  <c r="H68" i="30"/>
  <c r="G68" i="30"/>
  <c r="F68" i="30"/>
  <c r="E68" i="30"/>
  <c r="D68" i="30"/>
  <c r="C68" i="30"/>
  <c r="I67" i="30"/>
  <c r="H67" i="30"/>
  <c r="G67" i="30"/>
  <c r="F67" i="30"/>
  <c r="E67" i="30"/>
  <c r="D67" i="30"/>
  <c r="C67" i="30"/>
  <c r="I66" i="30"/>
  <c r="H66" i="30"/>
  <c r="G66" i="30"/>
  <c r="F66" i="30"/>
  <c r="E66" i="30"/>
  <c r="D66" i="30"/>
  <c r="C66" i="30"/>
  <c r="I65" i="30"/>
  <c r="H65" i="30"/>
  <c r="G65" i="30"/>
  <c r="F65" i="30"/>
  <c r="E65" i="30"/>
  <c r="D65" i="30"/>
  <c r="C65" i="30"/>
  <c r="I64" i="30"/>
  <c r="H64" i="30"/>
  <c r="G64" i="30"/>
  <c r="F64" i="30"/>
  <c r="E64" i="30"/>
  <c r="D64" i="30"/>
  <c r="C64" i="30"/>
  <c r="I63" i="30"/>
  <c r="H63" i="30"/>
  <c r="G63" i="30"/>
  <c r="F63" i="30"/>
  <c r="E63" i="30"/>
  <c r="D63" i="30"/>
  <c r="C63" i="30"/>
  <c r="I62" i="30"/>
  <c r="H62" i="30"/>
  <c r="G62" i="30"/>
  <c r="F62" i="30"/>
  <c r="E62" i="30"/>
  <c r="D62" i="30"/>
  <c r="C62" i="30"/>
  <c r="I61" i="30"/>
  <c r="H61" i="30"/>
  <c r="G61" i="30"/>
  <c r="F61" i="30"/>
  <c r="E61" i="30"/>
  <c r="D61" i="30"/>
  <c r="C61" i="30"/>
  <c r="I60" i="30"/>
  <c r="H60" i="30"/>
  <c r="G60" i="30"/>
  <c r="F60" i="30"/>
  <c r="E60" i="30"/>
  <c r="D60" i="30"/>
  <c r="C60" i="30"/>
  <c r="I59" i="30"/>
  <c r="H59" i="30"/>
  <c r="G59" i="30"/>
  <c r="F59" i="30"/>
  <c r="E59" i="30"/>
  <c r="D59" i="30"/>
  <c r="C59" i="30"/>
  <c r="I58" i="30"/>
  <c r="H58" i="30"/>
  <c r="G58" i="30"/>
  <c r="F58" i="30"/>
  <c r="E58" i="30"/>
  <c r="D58" i="30"/>
  <c r="C58" i="30"/>
  <c r="I57" i="30"/>
  <c r="H57" i="30"/>
  <c r="G57" i="30"/>
  <c r="F57" i="30"/>
  <c r="E57" i="30"/>
  <c r="D57" i="30"/>
  <c r="C57" i="30"/>
  <c r="I56" i="30"/>
  <c r="H56" i="30"/>
  <c r="G56" i="30"/>
  <c r="F56" i="30"/>
  <c r="E56" i="30"/>
  <c r="D56" i="30"/>
  <c r="C56" i="30"/>
  <c r="I55" i="30"/>
  <c r="H55" i="30"/>
  <c r="G55" i="30"/>
  <c r="F55" i="30"/>
  <c r="E55" i="30"/>
  <c r="D55" i="30"/>
  <c r="C55" i="30"/>
  <c r="I54" i="30"/>
  <c r="H54" i="30"/>
  <c r="G54" i="30"/>
  <c r="F54" i="30"/>
  <c r="E54" i="30"/>
  <c r="D54" i="30"/>
  <c r="C54" i="30"/>
  <c r="I53" i="30"/>
  <c r="H53" i="30"/>
  <c r="G53" i="30"/>
  <c r="F53" i="30"/>
  <c r="E53" i="30"/>
  <c r="D53" i="30"/>
  <c r="C53" i="30"/>
  <c r="I52" i="30"/>
  <c r="H52" i="30"/>
  <c r="G52" i="30"/>
  <c r="F52" i="30"/>
  <c r="E52" i="30"/>
  <c r="D52" i="30"/>
  <c r="C52" i="30"/>
  <c r="I51" i="30"/>
  <c r="H51" i="30"/>
  <c r="G51" i="30"/>
  <c r="F51" i="30"/>
  <c r="E51" i="30"/>
  <c r="D51" i="30"/>
  <c r="C51" i="30"/>
  <c r="I50" i="30"/>
  <c r="H50" i="30"/>
  <c r="G50" i="30"/>
  <c r="F50" i="30"/>
  <c r="E50" i="30"/>
  <c r="D50" i="30"/>
  <c r="C50" i="30"/>
  <c r="I49" i="30"/>
  <c r="H49" i="30"/>
  <c r="G49" i="30"/>
  <c r="F49" i="30"/>
  <c r="E49" i="30"/>
  <c r="D49" i="30"/>
  <c r="C49" i="30"/>
  <c r="I48" i="30"/>
  <c r="H48" i="30"/>
  <c r="G48" i="30"/>
  <c r="F48" i="30"/>
  <c r="E48" i="30"/>
  <c r="D48" i="30"/>
  <c r="C48" i="30"/>
  <c r="I47" i="30"/>
  <c r="H47" i="30"/>
  <c r="G47" i="30"/>
  <c r="F47" i="30"/>
  <c r="E47" i="30"/>
  <c r="D47" i="30"/>
  <c r="C47" i="30"/>
  <c r="I46" i="30"/>
  <c r="H46" i="30"/>
  <c r="G46" i="30"/>
  <c r="F46" i="30"/>
  <c r="E46" i="30"/>
  <c r="D46" i="30"/>
  <c r="C46" i="30"/>
  <c r="I45" i="30"/>
  <c r="H45" i="30"/>
  <c r="G45" i="30"/>
  <c r="F45" i="30"/>
  <c r="E45" i="30"/>
  <c r="D45" i="30"/>
  <c r="C45" i="30"/>
  <c r="I44" i="30"/>
  <c r="H44" i="30"/>
  <c r="G44" i="30"/>
  <c r="F44" i="30"/>
  <c r="E44" i="30"/>
  <c r="D44" i="30"/>
  <c r="C44" i="30"/>
  <c r="I43" i="30"/>
  <c r="H43" i="30"/>
  <c r="G43" i="30"/>
  <c r="F43" i="30"/>
  <c r="E43" i="30"/>
  <c r="D43" i="30"/>
  <c r="C43" i="30"/>
  <c r="I42" i="30"/>
  <c r="H42" i="30"/>
  <c r="G42" i="30"/>
  <c r="F42" i="30"/>
  <c r="E42" i="30"/>
  <c r="D42" i="30"/>
  <c r="C42" i="30"/>
  <c r="I41" i="30"/>
  <c r="H41" i="30"/>
  <c r="G41" i="30"/>
  <c r="F41" i="30"/>
  <c r="E41" i="30"/>
  <c r="D41" i="30"/>
  <c r="C41" i="30"/>
  <c r="I40" i="30"/>
  <c r="H40" i="30"/>
  <c r="G40" i="30"/>
  <c r="F40" i="30"/>
  <c r="E40" i="30"/>
  <c r="D40" i="30"/>
  <c r="C40" i="30"/>
  <c r="I39" i="30"/>
  <c r="H39" i="30"/>
  <c r="G39" i="30"/>
  <c r="F39" i="30"/>
  <c r="E39" i="30"/>
  <c r="D39" i="30"/>
  <c r="C39" i="30"/>
  <c r="I38" i="30"/>
  <c r="H38" i="30"/>
  <c r="G38" i="30"/>
  <c r="F38" i="30"/>
  <c r="E38" i="30"/>
  <c r="D38" i="30"/>
  <c r="C38" i="30"/>
  <c r="I37" i="30"/>
  <c r="H37" i="30"/>
  <c r="G37" i="30"/>
  <c r="F37" i="30"/>
  <c r="E37" i="30"/>
  <c r="D37" i="30"/>
  <c r="C37" i="30"/>
  <c r="I36" i="30"/>
  <c r="H36" i="30"/>
  <c r="G36" i="30"/>
  <c r="F36" i="30"/>
  <c r="E36" i="30"/>
  <c r="D36" i="30"/>
  <c r="C36" i="30"/>
  <c r="I35" i="30"/>
  <c r="H35" i="30"/>
  <c r="G35" i="30"/>
  <c r="F35" i="30"/>
  <c r="E35" i="30"/>
  <c r="D35" i="30"/>
  <c r="C35" i="30"/>
  <c r="I34" i="30"/>
  <c r="H34" i="30"/>
  <c r="G34" i="30"/>
  <c r="F34" i="30"/>
  <c r="E34" i="30"/>
  <c r="D34" i="30"/>
  <c r="C34" i="30"/>
  <c r="I33" i="30"/>
  <c r="H33" i="30"/>
  <c r="G33" i="30"/>
  <c r="F33" i="30"/>
  <c r="E33" i="30"/>
  <c r="D33" i="30"/>
  <c r="C33" i="30"/>
  <c r="I32" i="30"/>
  <c r="H32" i="30"/>
  <c r="G32" i="30"/>
  <c r="F32" i="30"/>
  <c r="E32" i="30"/>
  <c r="D32" i="30"/>
  <c r="C32" i="30"/>
  <c r="I31" i="30"/>
  <c r="H31" i="30"/>
  <c r="G31" i="30"/>
  <c r="F31" i="30"/>
  <c r="E31" i="30"/>
  <c r="D31" i="30"/>
  <c r="C31" i="30"/>
  <c r="I30" i="30"/>
  <c r="H30" i="30"/>
  <c r="G30" i="30"/>
  <c r="F30" i="30"/>
  <c r="E30" i="30"/>
  <c r="D30" i="30"/>
  <c r="C30" i="30"/>
  <c r="I29" i="30"/>
  <c r="H29" i="30"/>
  <c r="G29" i="30"/>
  <c r="F29" i="30"/>
  <c r="E29" i="30"/>
  <c r="D29" i="30"/>
  <c r="C29" i="30"/>
  <c r="I28" i="30"/>
  <c r="H28" i="30"/>
  <c r="G28" i="30"/>
  <c r="F28" i="30"/>
  <c r="E28" i="30"/>
  <c r="D28" i="30"/>
  <c r="C28" i="30"/>
  <c r="I27" i="30"/>
  <c r="H27" i="30"/>
  <c r="G27" i="30"/>
  <c r="F27" i="30"/>
  <c r="E27" i="30"/>
  <c r="D27" i="30"/>
  <c r="C27" i="30"/>
  <c r="I26" i="30"/>
  <c r="H26" i="30"/>
  <c r="G26" i="30"/>
  <c r="F26" i="30"/>
  <c r="E26" i="30"/>
  <c r="D26" i="30"/>
  <c r="C26" i="30"/>
  <c r="I25" i="30"/>
  <c r="H25" i="30"/>
  <c r="G25" i="30"/>
  <c r="F25" i="30"/>
  <c r="E25" i="30"/>
  <c r="D25" i="30"/>
  <c r="C25" i="30"/>
  <c r="I24" i="30"/>
  <c r="H24" i="30"/>
  <c r="G24" i="30"/>
  <c r="F24" i="30"/>
  <c r="E24" i="30"/>
  <c r="D24" i="30"/>
  <c r="C24" i="30"/>
  <c r="I23" i="30"/>
  <c r="H23" i="30"/>
  <c r="G23" i="30"/>
  <c r="F23" i="30"/>
  <c r="E23" i="30"/>
  <c r="D23" i="30"/>
  <c r="C23" i="30"/>
  <c r="I22" i="30"/>
  <c r="H22" i="30"/>
  <c r="G22" i="30"/>
  <c r="F22" i="30"/>
  <c r="E22" i="30"/>
  <c r="D22" i="30"/>
  <c r="C22" i="30"/>
  <c r="I21" i="30"/>
  <c r="H21" i="30"/>
  <c r="G21" i="30"/>
  <c r="F21" i="30"/>
  <c r="E21" i="30"/>
  <c r="D21" i="30"/>
  <c r="C21" i="30"/>
  <c r="I20" i="30"/>
  <c r="H20" i="30"/>
  <c r="G20" i="30"/>
  <c r="F20" i="30"/>
  <c r="E20" i="30"/>
  <c r="D20" i="30"/>
  <c r="C20" i="30"/>
  <c r="C19" i="30"/>
  <c r="D19" i="30"/>
  <c r="E19" i="30"/>
  <c r="F19" i="30"/>
  <c r="G19" i="30"/>
  <c r="H19" i="30"/>
  <c r="I19" i="30"/>
  <c r="T113" i="31" l="1"/>
  <c r="E428" i="30"/>
  <c r="E371" i="30"/>
  <c r="D428" i="30"/>
  <c r="D371" i="30"/>
  <c r="C428" i="30"/>
  <c r="C371" i="30"/>
  <c r="E427" i="30"/>
  <c r="E370" i="30"/>
  <c r="D427" i="30"/>
  <c r="D370" i="30"/>
  <c r="C427" i="30"/>
  <c r="C370" i="30"/>
  <c r="E440" i="30"/>
  <c r="E383" i="30"/>
  <c r="D440" i="30"/>
  <c r="D383" i="30"/>
  <c r="C440" i="30"/>
  <c r="C383" i="30"/>
  <c r="E439" i="30"/>
  <c r="E382" i="30"/>
  <c r="D439" i="30"/>
  <c r="D382" i="30"/>
  <c r="C439" i="30"/>
  <c r="C382" i="30"/>
  <c r="E438" i="30"/>
  <c r="E381" i="30"/>
  <c r="D438" i="30"/>
  <c r="D381" i="30"/>
  <c r="C438" i="30"/>
  <c r="C381" i="30"/>
  <c r="E437" i="30"/>
  <c r="E380" i="30"/>
  <c r="D437" i="30"/>
  <c r="D380" i="30"/>
  <c r="C437" i="30"/>
  <c r="C380" i="30"/>
  <c r="E436" i="30"/>
  <c r="E379" i="30"/>
  <c r="D436" i="30"/>
  <c r="D379" i="30"/>
  <c r="C436" i="30"/>
  <c r="C379" i="30"/>
  <c r="E435" i="30"/>
  <c r="E378" i="30"/>
  <c r="D435" i="30"/>
  <c r="D378" i="30"/>
  <c r="C435" i="30"/>
  <c r="C378" i="30"/>
  <c r="E434" i="30"/>
  <c r="E377" i="30"/>
  <c r="D434" i="30"/>
  <c r="D377" i="30"/>
  <c r="C434" i="30"/>
  <c r="C377" i="30"/>
  <c r="E433" i="30"/>
  <c r="E376" i="30"/>
  <c r="D433" i="30"/>
  <c r="D376" i="30"/>
  <c r="C433" i="30"/>
  <c r="C376" i="30"/>
  <c r="E432" i="30"/>
  <c r="E375" i="30"/>
  <c r="D432" i="30"/>
  <c r="D375" i="30"/>
  <c r="C432" i="30"/>
  <c r="C375" i="30"/>
  <c r="E431" i="30"/>
  <c r="E374" i="30"/>
  <c r="D431" i="30"/>
  <c r="D374" i="30"/>
  <c r="C431" i="30"/>
  <c r="C374" i="30"/>
  <c r="E430" i="30"/>
  <c r="E373" i="30"/>
  <c r="D430" i="30"/>
  <c r="D373" i="30"/>
  <c r="C430" i="30"/>
  <c r="C373" i="30"/>
  <c r="E429" i="30"/>
  <c r="E372" i="30"/>
  <c r="D429" i="30"/>
  <c r="D372" i="30"/>
  <c r="C429" i="30"/>
  <c r="C372" i="30"/>
  <c r="E441" i="30"/>
  <c r="E384" i="30"/>
  <c r="D441" i="30"/>
  <c r="D384" i="30"/>
  <c r="C441" i="30"/>
  <c r="C384" i="30"/>
  <c r="K19" i="28" l="1"/>
  <c r="L19" i="28" s="1"/>
  <c r="M19" i="28" s="1"/>
  <c r="N19" i="28" s="1"/>
  <c r="K17" i="28"/>
  <c r="L17" i="28" s="1"/>
  <c r="M17" i="28" s="1"/>
  <c r="N17" i="28" s="1"/>
  <c r="D146" i="2" l="1"/>
  <c r="E71" i="4" s="1"/>
  <c r="D127" i="2"/>
  <c r="E74" i="4" l="1"/>
  <c r="E68" i="4"/>
  <c r="C33" i="19"/>
  <c r="D765" i="30" l="1"/>
  <c r="E765" i="30"/>
  <c r="F765" i="30"/>
  <c r="G765" i="30"/>
  <c r="H765" i="30"/>
  <c r="I765" i="30"/>
  <c r="D766" i="30"/>
  <c r="E766" i="30"/>
  <c r="F766" i="30"/>
  <c r="G766" i="30"/>
  <c r="H766" i="30"/>
  <c r="I766" i="30"/>
  <c r="D767" i="30"/>
  <c r="E767" i="30"/>
  <c r="F767" i="30"/>
  <c r="G767" i="30"/>
  <c r="H767" i="30"/>
  <c r="I767" i="30"/>
  <c r="D732" i="30"/>
  <c r="F732" i="30"/>
  <c r="G732" i="30"/>
  <c r="H732" i="30"/>
  <c r="I732" i="30"/>
  <c r="D733" i="30"/>
  <c r="F733" i="30"/>
  <c r="G733" i="30"/>
  <c r="H733" i="30"/>
  <c r="I733" i="30"/>
  <c r="D734" i="30"/>
  <c r="F734" i="30"/>
  <c r="G734" i="30"/>
  <c r="H734" i="30"/>
  <c r="I734" i="30"/>
  <c r="D735" i="30"/>
  <c r="F735" i="30"/>
  <c r="G735" i="30"/>
  <c r="H735" i="30"/>
  <c r="I735" i="30"/>
  <c r="D736" i="30"/>
  <c r="F736" i="30"/>
  <c r="G736" i="30"/>
  <c r="H736" i="30"/>
  <c r="I736" i="30"/>
  <c r="D737" i="30"/>
  <c r="F737" i="30"/>
  <c r="G737" i="30"/>
  <c r="H737" i="30"/>
  <c r="I737" i="30"/>
  <c r="D738" i="30"/>
  <c r="F738" i="30"/>
  <c r="G738" i="30"/>
  <c r="H738" i="30"/>
  <c r="I738" i="30"/>
  <c r="D739" i="30"/>
  <c r="F739" i="30"/>
  <c r="G739" i="30"/>
  <c r="H739" i="30"/>
  <c r="I739" i="30"/>
  <c r="D740" i="30"/>
  <c r="F740" i="30"/>
  <c r="G740" i="30"/>
  <c r="H740" i="30"/>
  <c r="I740" i="30"/>
  <c r="D741" i="30"/>
  <c r="F741" i="30"/>
  <c r="G741" i="30"/>
  <c r="H741" i="30"/>
  <c r="I741" i="30"/>
  <c r="D742" i="30"/>
  <c r="F742" i="30"/>
  <c r="G742" i="30"/>
  <c r="H742" i="30"/>
  <c r="I742" i="30"/>
  <c r="D743" i="30"/>
  <c r="F743" i="30"/>
  <c r="G743" i="30"/>
  <c r="H743" i="30"/>
  <c r="I743" i="30"/>
  <c r="D744" i="30"/>
  <c r="F744" i="30"/>
  <c r="G744" i="30"/>
  <c r="H744" i="30"/>
  <c r="I744" i="30"/>
  <c r="D745" i="30"/>
  <c r="F745" i="30"/>
  <c r="G745" i="30"/>
  <c r="H745" i="30"/>
  <c r="I745" i="30"/>
  <c r="C732" i="30"/>
  <c r="C712" i="30"/>
  <c r="D452" i="30"/>
  <c r="E545" i="30"/>
  <c r="C549" i="30"/>
  <c r="D459" i="30"/>
  <c r="C550" i="30"/>
  <c r="D552" i="30"/>
  <c r="E553" i="30"/>
  <c r="E554" i="30"/>
  <c r="C466" i="30"/>
  <c r="D559" i="30"/>
  <c r="E470" i="30"/>
  <c r="C473" i="30"/>
  <c r="C566" i="30"/>
  <c r="D567" i="30"/>
  <c r="E477" i="30"/>
  <c r="D568" i="30"/>
  <c r="E570" i="30"/>
  <c r="C481" i="30"/>
  <c r="C482" i="30"/>
  <c r="C573" i="30"/>
  <c r="D484" i="30"/>
  <c r="C575" i="30"/>
  <c r="E577" i="30"/>
  <c r="C581" i="30"/>
  <c r="D491" i="30"/>
  <c r="D584" i="30"/>
  <c r="E585" i="30"/>
  <c r="E586" i="30"/>
  <c r="C498" i="30"/>
  <c r="C589" i="30"/>
  <c r="C590" i="30"/>
  <c r="D591" i="30"/>
  <c r="C592" i="30"/>
  <c r="E502" i="30"/>
  <c r="C505" i="30"/>
  <c r="C599" i="30"/>
  <c r="D599" i="30"/>
  <c r="E509" i="30"/>
  <c r="C600" i="30"/>
  <c r="D600" i="30"/>
  <c r="E602" i="30"/>
  <c r="C603" i="30"/>
  <c r="C514" i="30"/>
  <c r="D516" i="30"/>
  <c r="C607" i="30"/>
  <c r="C608" i="30"/>
  <c r="E609" i="30"/>
  <c r="C611" i="30"/>
  <c r="D523" i="30"/>
  <c r="C615" i="30"/>
  <c r="C616" i="30"/>
  <c r="D616" i="30"/>
  <c r="E617" i="30"/>
  <c r="E618" i="30"/>
  <c r="C619" i="30"/>
  <c r="C530" i="30"/>
  <c r="C623" i="30"/>
  <c r="D623" i="30"/>
  <c r="C624" i="30"/>
  <c r="E534" i="30"/>
  <c r="C341" i="30"/>
  <c r="D398" i="30"/>
  <c r="E341" i="30"/>
  <c r="C342" i="30"/>
  <c r="D399" i="30"/>
  <c r="D343" i="30"/>
  <c r="E343" i="30"/>
  <c r="D344" i="30"/>
  <c r="E401" i="30"/>
  <c r="C402" i="30"/>
  <c r="C346" i="30"/>
  <c r="D346" i="30"/>
  <c r="C347" i="30"/>
  <c r="D404" i="30"/>
  <c r="E404" i="30"/>
  <c r="E348" i="30"/>
  <c r="C349" i="30"/>
  <c r="D406" i="30"/>
  <c r="E349" i="30"/>
  <c r="C407" i="30"/>
  <c r="D407" i="30"/>
  <c r="D351" i="30"/>
  <c r="E351" i="30"/>
  <c r="D352" i="30"/>
  <c r="E352" i="30"/>
  <c r="C410" i="30"/>
  <c r="C354" i="30"/>
  <c r="D411" i="30"/>
  <c r="C355" i="30"/>
  <c r="D412" i="30"/>
  <c r="E412" i="30"/>
  <c r="E356" i="30"/>
  <c r="C357" i="30"/>
  <c r="D414" i="30"/>
  <c r="E357" i="30"/>
  <c r="C358" i="30"/>
  <c r="D415" i="30"/>
  <c r="D359" i="30"/>
  <c r="E359" i="30"/>
  <c r="D360" i="30"/>
  <c r="E417" i="30"/>
  <c r="C418" i="30"/>
  <c r="C362" i="30"/>
  <c r="D362" i="30"/>
  <c r="C363" i="30"/>
  <c r="D420" i="30"/>
  <c r="E420" i="30"/>
  <c r="E364" i="30"/>
  <c r="C365" i="30"/>
  <c r="D422" i="30"/>
  <c r="E365" i="30"/>
  <c r="C423" i="30"/>
  <c r="D423" i="30"/>
  <c r="D367" i="30"/>
  <c r="E367" i="30"/>
  <c r="D368" i="30"/>
  <c r="E368" i="30"/>
  <c r="C426" i="30"/>
  <c r="D417" i="30" l="1"/>
  <c r="E487" i="30"/>
  <c r="D401" i="30"/>
  <c r="D501" i="30"/>
  <c r="D365" i="30"/>
  <c r="D349" i="30"/>
  <c r="C420" i="30"/>
  <c r="C518" i="30"/>
  <c r="D581" i="30"/>
  <c r="E414" i="30"/>
  <c r="E398" i="30"/>
  <c r="C534" i="30"/>
  <c r="C563" i="30"/>
  <c r="C404" i="30"/>
  <c r="C500" i="30"/>
  <c r="E567" i="30"/>
  <c r="C734" i="30"/>
  <c r="E419" i="30"/>
  <c r="E362" i="30"/>
  <c r="C409" i="30"/>
  <c r="C352" i="30"/>
  <c r="E522" i="30"/>
  <c r="E612" i="30"/>
  <c r="D489" i="30"/>
  <c r="D579" i="30"/>
  <c r="D481" i="30"/>
  <c r="D571" i="30"/>
  <c r="E466" i="30"/>
  <c r="E556" i="30"/>
  <c r="E458" i="30"/>
  <c r="E548" i="30"/>
  <c r="C456" i="30"/>
  <c r="C546" i="30"/>
  <c r="C739" i="30"/>
  <c r="C717" i="30"/>
  <c r="C425" i="30"/>
  <c r="C368" i="30"/>
  <c r="C618" i="30"/>
  <c r="C528" i="30"/>
  <c r="C610" i="30"/>
  <c r="C520" i="30"/>
  <c r="E506" i="30"/>
  <c r="E596" i="30"/>
  <c r="C504" i="30"/>
  <c r="C594" i="30"/>
  <c r="D497" i="30"/>
  <c r="D587" i="30"/>
  <c r="D473" i="30"/>
  <c r="D563" i="30"/>
  <c r="D457" i="30"/>
  <c r="D547" i="30"/>
  <c r="D353" i="30"/>
  <c r="D410" i="30"/>
  <c r="E530" i="30"/>
  <c r="E620" i="30"/>
  <c r="E482" i="30"/>
  <c r="E572" i="30"/>
  <c r="C472" i="30"/>
  <c r="C562" i="30"/>
  <c r="D465" i="30"/>
  <c r="D555" i="30"/>
  <c r="D513" i="30"/>
  <c r="D603" i="30"/>
  <c r="D505" i="30"/>
  <c r="D595" i="30"/>
  <c r="E498" i="30"/>
  <c r="E588" i="30"/>
  <c r="C496" i="30"/>
  <c r="C586" i="30"/>
  <c r="C417" i="30"/>
  <c r="C360" i="30"/>
  <c r="C401" i="30"/>
  <c r="C344" i="30"/>
  <c r="E514" i="30"/>
  <c r="E604" i="30"/>
  <c r="E411" i="30"/>
  <c r="E354" i="30"/>
  <c r="D345" i="30"/>
  <c r="D402" i="30"/>
  <c r="E490" i="30"/>
  <c r="E580" i="30"/>
  <c r="C488" i="30"/>
  <c r="C578" i="30"/>
  <c r="C480" i="30"/>
  <c r="C570" i="30"/>
  <c r="D369" i="30"/>
  <c r="D426" i="30"/>
  <c r="D361" i="30"/>
  <c r="D418" i="30"/>
  <c r="E403" i="30"/>
  <c r="E346" i="30"/>
  <c r="D529" i="30"/>
  <c r="D619" i="30"/>
  <c r="D521" i="30"/>
  <c r="D611" i="30"/>
  <c r="C602" i="30"/>
  <c r="C512" i="30"/>
  <c r="E474" i="30"/>
  <c r="E564" i="30"/>
  <c r="C464" i="30"/>
  <c r="C554" i="30"/>
  <c r="E426" i="30"/>
  <c r="E369" i="30"/>
  <c r="C424" i="30"/>
  <c r="C367" i="30"/>
  <c r="E418" i="30"/>
  <c r="E361" i="30"/>
  <c r="C416" i="30"/>
  <c r="C359" i="30"/>
  <c r="E410" i="30"/>
  <c r="E353" i="30"/>
  <c r="C408" i="30"/>
  <c r="C351" i="30"/>
  <c r="E402" i="30"/>
  <c r="E345" i="30"/>
  <c r="C400" i="30"/>
  <c r="C343" i="30"/>
  <c r="E619" i="30"/>
  <c r="E529" i="30"/>
  <c r="D528" i="30"/>
  <c r="D618" i="30"/>
  <c r="C617" i="30"/>
  <c r="C527" i="30"/>
  <c r="E611" i="30"/>
  <c r="E521" i="30"/>
  <c r="D520" i="30"/>
  <c r="D610" i="30"/>
  <c r="C609" i="30"/>
  <c r="C519" i="30"/>
  <c r="E603" i="30"/>
  <c r="E513" i="30"/>
  <c r="D512" i="30"/>
  <c r="D602" i="30"/>
  <c r="C601" i="30"/>
  <c r="C511" i="30"/>
  <c r="E595" i="30"/>
  <c r="E505" i="30"/>
  <c r="D504" i="30"/>
  <c r="D594" i="30"/>
  <c r="C503" i="30"/>
  <c r="C593" i="30"/>
  <c r="E587" i="30"/>
  <c r="E497" i="30"/>
  <c r="D496" i="30"/>
  <c r="D586" i="30"/>
  <c r="C495" i="30"/>
  <c r="C585" i="30"/>
  <c r="E579" i="30"/>
  <c r="E489" i="30"/>
  <c r="D488" i="30"/>
  <c r="D578" i="30"/>
  <c r="C487" i="30"/>
  <c r="C577" i="30"/>
  <c r="E571" i="30"/>
  <c r="E481" i="30"/>
  <c r="D480" i="30"/>
  <c r="D570" i="30"/>
  <c r="C479" i="30"/>
  <c r="C569" i="30"/>
  <c r="E563" i="30"/>
  <c r="E473" i="30"/>
  <c r="D472" i="30"/>
  <c r="D562" i="30"/>
  <c r="C471" i="30"/>
  <c r="C561" i="30"/>
  <c r="E555" i="30"/>
  <c r="E465" i="30"/>
  <c r="D464" i="30"/>
  <c r="D554" i="30"/>
  <c r="C463" i="30"/>
  <c r="C553" i="30"/>
  <c r="E547" i="30"/>
  <c r="E457" i="30"/>
  <c r="D456" i="30"/>
  <c r="D546" i="30"/>
  <c r="C455" i="30"/>
  <c r="C545" i="30"/>
  <c r="C740" i="30"/>
  <c r="C718" i="30"/>
  <c r="C366" i="30"/>
  <c r="E360" i="30"/>
  <c r="D355" i="30"/>
  <c r="C350" i="30"/>
  <c r="E344" i="30"/>
  <c r="C422" i="30"/>
  <c r="C406" i="30"/>
  <c r="D419" i="30"/>
  <c r="D403" i="30"/>
  <c r="E416" i="30"/>
  <c r="E400" i="30"/>
  <c r="C502" i="30"/>
  <c r="C459" i="30"/>
  <c r="D509" i="30"/>
  <c r="E495" i="30"/>
  <c r="C571" i="30"/>
  <c r="D606" i="30"/>
  <c r="E592" i="30"/>
  <c r="E531" i="30"/>
  <c r="E621" i="30"/>
  <c r="D530" i="30"/>
  <c r="D620" i="30"/>
  <c r="E523" i="30"/>
  <c r="E613" i="30"/>
  <c r="D522" i="30"/>
  <c r="D612" i="30"/>
  <c r="E515" i="30"/>
  <c r="E605" i="30"/>
  <c r="D514" i="30"/>
  <c r="D604" i="30"/>
  <c r="E507" i="30"/>
  <c r="E597" i="30"/>
  <c r="D506" i="30"/>
  <c r="D596" i="30"/>
  <c r="E499" i="30"/>
  <c r="E589" i="30"/>
  <c r="D498" i="30"/>
  <c r="D588" i="30"/>
  <c r="C587" i="30"/>
  <c r="C497" i="30"/>
  <c r="E491" i="30"/>
  <c r="E581" i="30"/>
  <c r="D490" i="30"/>
  <c r="D580" i="30"/>
  <c r="C489" i="30"/>
  <c r="C579" i="30"/>
  <c r="E483" i="30"/>
  <c r="E573" i="30"/>
  <c r="D482" i="30"/>
  <c r="D572" i="30"/>
  <c r="E475" i="30"/>
  <c r="E565" i="30"/>
  <c r="D474" i="30"/>
  <c r="D564" i="30"/>
  <c r="E467" i="30"/>
  <c r="E557" i="30"/>
  <c r="D466" i="30"/>
  <c r="D556" i="30"/>
  <c r="C465" i="30"/>
  <c r="C555" i="30"/>
  <c r="E459" i="30"/>
  <c r="E549" i="30"/>
  <c r="D458" i="30"/>
  <c r="D548" i="30"/>
  <c r="C457" i="30"/>
  <c r="C547" i="30"/>
  <c r="C716" i="30"/>
  <c r="C738" i="30"/>
  <c r="C767" i="30"/>
  <c r="C757" i="30"/>
  <c r="D354" i="30"/>
  <c r="C419" i="30"/>
  <c r="C403" i="30"/>
  <c r="D416" i="30"/>
  <c r="D400" i="30"/>
  <c r="E413" i="30"/>
  <c r="C533" i="30"/>
  <c r="C517" i="30"/>
  <c r="C499" i="30"/>
  <c r="D494" i="30"/>
  <c r="E480" i="30"/>
  <c r="C620" i="30"/>
  <c r="C556" i="30"/>
  <c r="D574" i="30"/>
  <c r="E560" i="30"/>
  <c r="E532" i="30"/>
  <c r="E622" i="30"/>
  <c r="D531" i="30"/>
  <c r="D621" i="30"/>
  <c r="E524" i="30"/>
  <c r="E614" i="30"/>
  <c r="C522" i="30"/>
  <c r="C612" i="30"/>
  <c r="E516" i="30"/>
  <c r="E606" i="30"/>
  <c r="D515" i="30"/>
  <c r="D605" i="30"/>
  <c r="E508" i="30"/>
  <c r="E598" i="30"/>
  <c r="D507" i="30"/>
  <c r="D597" i="30"/>
  <c r="C506" i="30"/>
  <c r="C596" i="30"/>
  <c r="E500" i="30"/>
  <c r="E590" i="30"/>
  <c r="D499" i="30"/>
  <c r="D589" i="30"/>
  <c r="E492" i="30"/>
  <c r="E582" i="30"/>
  <c r="C490" i="30"/>
  <c r="C580" i="30"/>
  <c r="E484" i="30"/>
  <c r="E574" i="30"/>
  <c r="D483" i="30"/>
  <c r="D573" i="30"/>
  <c r="E476" i="30"/>
  <c r="E566" i="30"/>
  <c r="D475" i="30"/>
  <c r="D565" i="30"/>
  <c r="C474" i="30"/>
  <c r="C564" i="30"/>
  <c r="E468" i="30"/>
  <c r="E558" i="30"/>
  <c r="D467" i="30"/>
  <c r="D557" i="30"/>
  <c r="E460" i="30"/>
  <c r="E550" i="30"/>
  <c r="C458" i="30"/>
  <c r="C548" i="30"/>
  <c r="E452" i="30"/>
  <c r="E542" i="30"/>
  <c r="C745" i="30"/>
  <c r="C723" i="30"/>
  <c r="C737" i="30"/>
  <c r="C715" i="30"/>
  <c r="C756" i="30"/>
  <c r="C766" i="30"/>
  <c r="C369" i="30"/>
  <c r="E363" i="30"/>
  <c r="D358" i="30"/>
  <c r="C353" i="30"/>
  <c r="E347" i="30"/>
  <c r="D342" i="30"/>
  <c r="C415" i="30"/>
  <c r="C399" i="30"/>
  <c r="E425" i="30"/>
  <c r="E409" i="30"/>
  <c r="C529" i="30"/>
  <c r="C513" i="30"/>
  <c r="C491" i="30"/>
  <c r="D478" i="30"/>
  <c r="E528" i="30"/>
  <c r="E464" i="30"/>
  <c r="C604" i="30"/>
  <c r="D549" i="30"/>
  <c r="D421" i="30"/>
  <c r="D364" i="30"/>
  <c r="D413" i="30"/>
  <c r="D356" i="30"/>
  <c r="D405" i="30"/>
  <c r="D348" i="30"/>
  <c r="E533" i="30"/>
  <c r="E623" i="30"/>
  <c r="D532" i="30"/>
  <c r="D622" i="30"/>
  <c r="C621" i="30"/>
  <c r="C531" i="30"/>
  <c r="E525" i="30"/>
  <c r="E615" i="30"/>
  <c r="D524" i="30"/>
  <c r="D614" i="30"/>
  <c r="C613" i="30"/>
  <c r="C523" i="30"/>
  <c r="E517" i="30"/>
  <c r="E607" i="30"/>
  <c r="C605" i="30"/>
  <c r="C515" i="30"/>
  <c r="D508" i="30"/>
  <c r="D598" i="30"/>
  <c r="C597" i="30"/>
  <c r="C507" i="30"/>
  <c r="E501" i="30"/>
  <c r="E591" i="30"/>
  <c r="D500" i="30"/>
  <c r="D590" i="30"/>
  <c r="E493" i="30"/>
  <c r="E583" i="30"/>
  <c r="D492" i="30"/>
  <c r="D582" i="30"/>
  <c r="E485" i="30"/>
  <c r="E575" i="30"/>
  <c r="D476" i="30"/>
  <c r="D566" i="30"/>
  <c r="C565" i="30"/>
  <c r="C475" i="30"/>
  <c r="E469" i="30"/>
  <c r="E559" i="30"/>
  <c r="D468" i="30"/>
  <c r="D558" i="30"/>
  <c r="C557" i="30"/>
  <c r="C467" i="30"/>
  <c r="E461" i="30"/>
  <c r="E551" i="30"/>
  <c r="D460" i="30"/>
  <c r="D550" i="30"/>
  <c r="E453" i="30"/>
  <c r="E543" i="30"/>
  <c r="C744" i="30"/>
  <c r="C722" i="30"/>
  <c r="C736" i="30"/>
  <c r="C714" i="30"/>
  <c r="C765" i="30"/>
  <c r="C755" i="30"/>
  <c r="D363" i="30"/>
  <c r="D347" i="30"/>
  <c r="C414" i="30"/>
  <c r="C398" i="30"/>
  <c r="E424" i="30"/>
  <c r="E408" i="30"/>
  <c r="C485" i="30"/>
  <c r="D477" i="30"/>
  <c r="E527" i="30"/>
  <c r="E463" i="30"/>
  <c r="D542" i="30"/>
  <c r="C710" i="30"/>
  <c r="E366" i="30"/>
  <c r="E423" i="30"/>
  <c r="C364" i="30"/>
  <c r="C421" i="30"/>
  <c r="E358" i="30"/>
  <c r="E415" i="30"/>
  <c r="C356" i="30"/>
  <c r="C413" i="30"/>
  <c r="E350" i="30"/>
  <c r="E407" i="30"/>
  <c r="C348" i="30"/>
  <c r="C405" i="30"/>
  <c r="E342" i="30"/>
  <c r="E399" i="30"/>
  <c r="C622" i="30"/>
  <c r="C532" i="30"/>
  <c r="E526" i="30"/>
  <c r="E616" i="30"/>
  <c r="D615" i="30"/>
  <c r="D525" i="30"/>
  <c r="C614" i="30"/>
  <c r="C524" i="30"/>
  <c r="E518" i="30"/>
  <c r="E608" i="30"/>
  <c r="D607" i="30"/>
  <c r="D517" i="30"/>
  <c r="C606" i="30"/>
  <c r="C516" i="30"/>
  <c r="E510" i="30"/>
  <c r="E600" i="30"/>
  <c r="C598" i="30"/>
  <c r="C508" i="30"/>
  <c r="E494" i="30"/>
  <c r="E584" i="30"/>
  <c r="D583" i="30"/>
  <c r="D493" i="30"/>
  <c r="C582" i="30"/>
  <c r="C492" i="30"/>
  <c r="E486" i="30"/>
  <c r="E576" i="30"/>
  <c r="D575" i="30"/>
  <c r="D485" i="30"/>
  <c r="C574" i="30"/>
  <c r="C484" i="30"/>
  <c r="E478" i="30"/>
  <c r="E568" i="30"/>
  <c r="C558" i="30"/>
  <c r="C468" i="30"/>
  <c r="E462" i="30"/>
  <c r="E552" i="30"/>
  <c r="D551" i="30"/>
  <c r="D461" i="30"/>
  <c r="E454" i="30"/>
  <c r="E544" i="30"/>
  <c r="D543" i="30"/>
  <c r="D453" i="30"/>
  <c r="C542" i="30"/>
  <c r="C452" i="30"/>
  <c r="C721" i="30"/>
  <c r="C743" i="30"/>
  <c r="C713" i="30"/>
  <c r="C735" i="30"/>
  <c r="D357" i="30"/>
  <c r="D341" i="30"/>
  <c r="C412" i="30"/>
  <c r="D425" i="30"/>
  <c r="D409" i="30"/>
  <c r="E422" i="30"/>
  <c r="E406" i="30"/>
  <c r="C526" i="30"/>
  <c r="C510" i="30"/>
  <c r="C483" i="30"/>
  <c r="D533" i="30"/>
  <c r="D469" i="30"/>
  <c r="E519" i="30"/>
  <c r="E455" i="30"/>
  <c r="C595" i="30"/>
  <c r="D624" i="30"/>
  <c r="D534" i="30"/>
  <c r="D608" i="30"/>
  <c r="D518" i="30"/>
  <c r="E601" i="30"/>
  <c r="E511" i="30"/>
  <c r="E593" i="30"/>
  <c r="E503" i="30"/>
  <c r="D592" i="30"/>
  <c r="D502" i="30"/>
  <c r="C591" i="30"/>
  <c r="C501" i="30"/>
  <c r="C583" i="30"/>
  <c r="C493" i="30"/>
  <c r="D576" i="30"/>
  <c r="D486" i="30"/>
  <c r="E569" i="30"/>
  <c r="E479" i="30"/>
  <c r="C567" i="30"/>
  <c r="C477" i="30"/>
  <c r="E561" i="30"/>
  <c r="E471" i="30"/>
  <c r="D560" i="30"/>
  <c r="D470" i="30"/>
  <c r="C559" i="30"/>
  <c r="C469" i="30"/>
  <c r="C551" i="30"/>
  <c r="C461" i="30"/>
  <c r="D544" i="30"/>
  <c r="D454" i="30"/>
  <c r="C543" i="30"/>
  <c r="C453" i="30"/>
  <c r="C720" i="30"/>
  <c r="C742" i="30"/>
  <c r="C411" i="30"/>
  <c r="D424" i="30"/>
  <c r="D408" i="30"/>
  <c r="E421" i="30"/>
  <c r="E405" i="30"/>
  <c r="C525" i="30"/>
  <c r="C509" i="30"/>
  <c r="C476" i="30"/>
  <c r="D526" i="30"/>
  <c r="D462" i="30"/>
  <c r="E512" i="30"/>
  <c r="C588" i="30"/>
  <c r="E624" i="30"/>
  <c r="D617" i="30"/>
  <c r="D527" i="30"/>
  <c r="E610" i="30"/>
  <c r="E520" i="30"/>
  <c r="D609" i="30"/>
  <c r="D519" i="30"/>
  <c r="D601" i="30"/>
  <c r="D511" i="30"/>
  <c r="E594" i="30"/>
  <c r="E504" i="30"/>
  <c r="D593" i="30"/>
  <c r="D503" i="30"/>
  <c r="D585" i="30"/>
  <c r="D495" i="30"/>
  <c r="C494" i="30"/>
  <c r="C584" i="30"/>
  <c r="E578" i="30"/>
  <c r="E488" i="30"/>
  <c r="D577" i="30"/>
  <c r="D487" i="30"/>
  <c r="C486" i="30"/>
  <c r="C576" i="30"/>
  <c r="D569" i="30"/>
  <c r="D479" i="30"/>
  <c r="C478" i="30"/>
  <c r="C568" i="30"/>
  <c r="E562" i="30"/>
  <c r="E472" i="30"/>
  <c r="D561" i="30"/>
  <c r="D471" i="30"/>
  <c r="C470" i="30"/>
  <c r="C560" i="30"/>
  <c r="D553" i="30"/>
  <c r="D463" i="30"/>
  <c r="C462" i="30"/>
  <c r="C552" i="30"/>
  <c r="E546" i="30"/>
  <c r="E456" i="30"/>
  <c r="D545" i="30"/>
  <c r="D455" i="30"/>
  <c r="C454" i="30"/>
  <c r="C544" i="30"/>
  <c r="C741" i="30"/>
  <c r="C719" i="30"/>
  <c r="C733" i="30"/>
  <c r="C711" i="30"/>
  <c r="D366" i="30"/>
  <c r="C361" i="30"/>
  <c r="E355" i="30"/>
  <c r="D350" i="30"/>
  <c r="C345" i="30"/>
  <c r="C521" i="30"/>
  <c r="C460" i="30"/>
  <c r="D510" i="30"/>
  <c r="E496" i="30"/>
  <c r="C572" i="30"/>
  <c r="D613" i="30"/>
  <c r="E599" i="30"/>
  <c r="C92" i="30" l="1"/>
  <c r="D92" i="30"/>
  <c r="E92" i="30"/>
  <c r="F92" i="30"/>
  <c r="G92" i="30"/>
  <c r="H92" i="30"/>
  <c r="I92" i="30"/>
  <c r="C93" i="30"/>
  <c r="D93" i="30"/>
  <c r="E93" i="30"/>
  <c r="F93" i="30"/>
  <c r="G93" i="30"/>
  <c r="H93" i="30"/>
  <c r="I93" i="30"/>
  <c r="C94" i="30"/>
  <c r="D94" i="30"/>
  <c r="E94" i="30"/>
  <c r="F94" i="30"/>
  <c r="G94" i="30"/>
  <c r="H94" i="30"/>
  <c r="I94" i="30"/>
  <c r="C95" i="30"/>
  <c r="D95" i="30"/>
  <c r="E95" i="30"/>
  <c r="F95" i="30"/>
  <c r="G95" i="30"/>
  <c r="H95" i="30"/>
  <c r="I95" i="30"/>
  <c r="C96" i="30"/>
  <c r="D96" i="30"/>
  <c r="E96" i="30"/>
  <c r="F96" i="30"/>
  <c r="G96" i="30"/>
  <c r="H96" i="30"/>
  <c r="I96" i="30"/>
  <c r="C97" i="30"/>
  <c r="D97" i="30"/>
  <c r="E97" i="30"/>
  <c r="F97" i="30"/>
  <c r="G97" i="30"/>
  <c r="H97" i="30"/>
  <c r="I97" i="30"/>
  <c r="C98" i="30"/>
  <c r="D98" i="30"/>
  <c r="E98" i="30"/>
  <c r="F98" i="30"/>
  <c r="G98" i="30"/>
  <c r="H98" i="30"/>
  <c r="I98" i="30"/>
  <c r="C99" i="30"/>
  <c r="D99" i="30"/>
  <c r="E99" i="30"/>
  <c r="F99" i="30"/>
  <c r="G99" i="30"/>
  <c r="H99" i="30"/>
  <c r="I99" i="30"/>
  <c r="C100" i="30"/>
  <c r="D100" i="30"/>
  <c r="E100" i="30"/>
  <c r="F100" i="30"/>
  <c r="G100" i="30"/>
  <c r="H100" i="30"/>
  <c r="I100" i="30"/>
  <c r="C101" i="30"/>
  <c r="D101" i="30"/>
  <c r="E101" i="30"/>
  <c r="F101" i="30"/>
  <c r="G101" i="30"/>
  <c r="H101" i="30"/>
  <c r="I101" i="30"/>
  <c r="C102" i="30"/>
  <c r="D102" i="30"/>
  <c r="E102" i="30"/>
  <c r="F102" i="30"/>
  <c r="G102" i="30"/>
  <c r="H102" i="30"/>
  <c r="I102" i="30"/>
  <c r="C103" i="30"/>
  <c r="D103" i="30"/>
  <c r="E103" i="30"/>
  <c r="F103" i="30"/>
  <c r="G103" i="30"/>
  <c r="H103" i="30"/>
  <c r="I103" i="30"/>
  <c r="C104" i="30"/>
  <c r="D104" i="30"/>
  <c r="E104" i="30"/>
  <c r="F104" i="30"/>
  <c r="G104" i="30"/>
  <c r="H104" i="30"/>
  <c r="I104" i="30"/>
  <c r="C105" i="30"/>
  <c r="D105" i="30"/>
  <c r="E105" i="30"/>
  <c r="F105" i="30"/>
  <c r="G105" i="30"/>
  <c r="H105" i="30"/>
  <c r="I105" i="30"/>
  <c r="C106" i="30"/>
  <c r="D106" i="30"/>
  <c r="E106" i="30"/>
  <c r="F106" i="30"/>
  <c r="G106" i="30"/>
  <c r="H106" i="30"/>
  <c r="I106" i="30"/>
  <c r="C107" i="30"/>
  <c r="D107" i="30"/>
  <c r="E107" i="30"/>
  <c r="F107" i="30"/>
  <c r="G107" i="30"/>
  <c r="H107" i="30"/>
  <c r="I107" i="30"/>
  <c r="C108" i="30"/>
  <c r="D108" i="30"/>
  <c r="E108" i="30"/>
  <c r="F108" i="30"/>
  <c r="G108" i="30"/>
  <c r="H108" i="30"/>
  <c r="I108" i="30"/>
  <c r="C109" i="30"/>
  <c r="D109" i="30"/>
  <c r="E109" i="30"/>
  <c r="F109" i="30"/>
  <c r="G109" i="30"/>
  <c r="H109" i="30"/>
  <c r="I109" i="30"/>
  <c r="C110" i="30"/>
  <c r="D110" i="30"/>
  <c r="E110" i="30"/>
  <c r="F110" i="30"/>
  <c r="G110" i="30"/>
  <c r="H110" i="30"/>
  <c r="I110" i="30"/>
  <c r="C111" i="30"/>
  <c r="D111" i="30"/>
  <c r="E111" i="30"/>
  <c r="F111" i="30"/>
  <c r="G111" i="30"/>
  <c r="H111" i="30"/>
  <c r="I111" i="30"/>
  <c r="C112" i="30"/>
  <c r="D112" i="30"/>
  <c r="E112" i="30"/>
  <c r="F112" i="30"/>
  <c r="G112" i="30"/>
  <c r="H112" i="30"/>
  <c r="I112" i="30"/>
  <c r="C113" i="30"/>
  <c r="D113" i="30"/>
  <c r="E113" i="30"/>
  <c r="F113" i="30"/>
  <c r="G113" i="30"/>
  <c r="H113" i="30"/>
  <c r="I113" i="30"/>
  <c r="C114" i="30"/>
  <c r="D114" i="30"/>
  <c r="E114" i="30"/>
  <c r="F114" i="30"/>
  <c r="G114" i="30"/>
  <c r="H114" i="30"/>
  <c r="I114" i="30"/>
  <c r="C115" i="30"/>
  <c r="D115" i="30"/>
  <c r="E115" i="30"/>
  <c r="F115" i="30"/>
  <c r="G115" i="30"/>
  <c r="H115" i="30"/>
  <c r="I115" i="30"/>
  <c r="C116" i="30"/>
  <c r="D116" i="30"/>
  <c r="E116" i="30"/>
  <c r="F116" i="30"/>
  <c r="G116" i="30"/>
  <c r="H116" i="30"/>
  <c r="I116" i="30"/>
  <c r="C117" i="30"/>
  <c r="D117" i="30"/>
  <c r="E117" i="30"/>
  <c r="F117" i="30"/>
  <c r="G117" i="30"/>
  <c r="H117" i="30"/>
  <c r="I117" i="30"/>
  <c r="C118" i="30"/>
  <c r="D118" i="30"/>
  <c r="E118" i="30"/>
  <c r="F118" i="30"/>
  <c r="G118" i="30"/>
  <c r="H118" i="30"/>
  <c r="I118" i="30"/>
  <c r="C119" i="30"/>
  <c r="D119" i="30"/>
  <c r="E119" i="30"/>
  <c r="F119" i="30"/>
  <c r="G119" i="30"/>
  <c r="H119" i="30"/>
  <c r="I119" i="30"/>
  <c r="C120" i="30"/>
  <c r="D120" i="30"/>
  <c r="E120" i="30"/>
  <c r="F120" i="30"/>
  <c r="G120" i="30"/>
  <c r="H120" i="30"/>
  <c r="I120" i="30"/>
  <c r="C121" i="30"/>
  <c r="D121" i="30"/>
  <c r="E121" i="30"/>
  <c r="F121" i="30"/>
  <c r="G121" i="30"/>
  <c r="H121" i="30"/>
  <c r="I121" i="30"/>
  <c r="C122" i="30"/>
  <c r="D122" i="30"/>
  <c r="E122" i="30"/>
  <c r="F122" i="30"/>
  <c r="G122" i="30"/>
  <c r="H122" i="30"/>
  <c r="I122" i="30"/>
  <c r="C123" i="30"/>
  <c r="D123" i="30"/>
  <c r="E123" i="30"/>
  <c r="F123" i="30"/>
  <c r="G123" i="30"/>
  <c r="H123" i="30"/>
  <c r="I123" i="30"/>
  <c r="C124" i="30"/>
  <c r="D124" i="30"/>
  <c r="E124" i="30"/>
  <c r="F124" i="30"/>
  <c r="G124" i="30"/>
  <c r="H124" i="30"/>
  <c r="I124" i="30"/>
  <c r="C125" i="30"/>
  <c r="D125" i="30"/>
  <c r="E125" i="30"/>
  <c r="F125" i="30"/>
  <c r="G125" i="30"/>
  <c r="H125" i="30"/>
  <c r="I125" i="30"/>
  <c r="C126" i="30"/>
  <c r="D126" i="30"/>
  <c r="E126" i="30"/>
  <c r="F126" i="30"/>
  <c r="G126" i="30"/>
  <c r="H126" i="30"/>
  <c r="I126" i="30"/>
  <c r="C127" i="30"/>
  <c r="D127" i="30"/>
  <c r="E127" i="30"/>
  <c r="F127" i="30"/>
  <c r="G127" i="30"/>
  <c r="H127" i="30"/>
  <c r="I127" i="30"/>
  <c r="C128" i="30"/>
  <c r="D128" i="30"/>
  <c r="E128" i="30"/>
  <c r="F128" i="30"/>
  <c r="G128" i="30"/>
  <c r="H128" i="30"/>
  <c r="I128" i="30"/>
  <c r="C129" i="30"/>
  <c r="D129" i="30"/>
  <c r="E129" i="30"/>
  <c r="F129" i="30"/>
  <c r="G129" i="30"/>
  <c r="H129" i="30"/>
  <c r="I129" i="30"/>
  <c r="C130" i="30"/>
  <c r="D130" i="30"/>
  <c r="E130" i="30"/>
  <c r="F130" i="30"/>
  <c r="G130" i="30"/>
  <c r="H130" i="30"/>
  <c r="I130" i="30"/>
  <c r="C131" i="30"/>
  <c r="D131" i="30"/>
  <c r="E131" i="30"/>
  <c r="F131" i="30"/>
  <c r="G131" i="30"/>
  <c r="H131" i="30"/>
  <c r="I131" i="30"/>
  <c r="C132" i="30"/>
  <c r="D132" i="30"/>
  <c r="E132" i="30"/>
  <c r="F132" i="30"/>
  <c r="G132" i="30"/>
  <c r="H132" i="30"/>
  <c r="I132" i="30"/>
  <c r="C133" i="30"/>
  <c r="D133" i="30"/>
  <c r="E133" i="30"/>
  <c r="F133" i="30"/>
  <c r="G133" i="30"/>
  <c r="H133" i="30"/>
  <c r="I133" i="30"/>
  <c r="C134" i="30"/>
  <c r="D134" i="30"/>
  <c r="E134" i="30"/>
  <c r="F134" i="30"/>
  <c r="G134" i="30"/>
  <c r="H134" i="30"/>
  <c r="I134" i="30"/>
  <c r="C135" i="30"/>
  <c r="D135" i="30"/>
  <c r="E135" i="30"/>
  <c r="F135" i="30"/>
  <c r="G135" i="30"/>
  <c r="H135" i="30"/>
  <c r="I135" i="30"/>
  <c r="C136" i="30"/>
  <c r="D136" i="30"/>
  <c r="E136" i="30"/>
  <c r="F136" i="30"/>
  <c r="G136" i="30"/>
  <c r="H136" i="30"/>
  <c r="I136" i="30"/>
  <c r="C137" i="30"/>
  <c r="D137" i="30"/>
  <c r="E137" i="30"/>
  <c r="F137" i="30"/>
  <c r="G137" i="30"/>
  <c r="H137" i="30"/>
  <c r="I137" i="30"/>
  <c r="C138" i="30"/>
  <c r="D138" i="30"/>
  <c r="E138" i="30"/>
  <c r="F138" i="30"/>
  <c r="G138" i="30"/>
  <c r="H138" i="30"/>
  <c r="I138" i="30"/>
  <c r="C139" i="30"/>
  <c r="D139" i="30"/>
  <c r="E139" i="30"/>
  <c r="F139" i="30"/>
  <c r="G139" i="30"/>
  <c r="H139" i="30"/>
  <c r="I139" i="30"/>
  <c r="C140" i="30"/>
  <c r="D140" i="30"/>
  <c r="E140" i="30"/>
  <c r="F140" i="30"/>
  <c r="G140" i="30"/>
  <c r="H140" i="30"/>
  <c r="I140" i="30"/>
  <c r="C141" i="30"/>
  <c r="D141" i="30"/>
  <c r="E141" i="30"/>
  <c r="F141" i="30"/>
  <c r="G141" i="30"/>
  <c r="H141" i="30"/>
  <c r="I141" i="30"/>
  <c r="C142" i="30"/>
  <c r="D142" i="30"/>
  <c r="E142" i="30"/>
  <c r="F142" i="30"/>
  <c r="G142" i="30"/>
  <c r="H142" i="30"/>
  <c r="I142" i="30"/>
  <c r="C143" i="30"/>
  <c r="D143" i="30"/>
  <c r="E143" i="30"/>
  <c r="F143" i="30"/>
  <c r="G143" i="30"/>
  <c r="H143" i="30"/>
  <c r="I143" i="30"/>
  <c r="C144" i="30"/>
  <c r="D144" i="30"/>
  <c r="E144" i="30"/>
  <c r="F144" i="30"/>
  <c r="G144" i="30"/>
  <c r="H144" i="30"/>
  <c r="I144" i="30"/>
  <c r="C145" i="30"/>
  <c r="D145" i="30"/>
  <c r="E145" i="30"/>
  <c r="F145" i="30"/>
  <c r="G145" i="30"/>
  <c r="H145" i="30"/>
  <c r="I145" i="30"/>
  <c r="C146" i="30"/>
  <c r="D146" i="30"/>
  <c r="E146" i="30"/>
  <c r="F146" i="30"/>
  <c r="G146" i="30"/>
  <c r="H146" i="30"/>
  <c r="I146" i="30"/>
  <c r="C147" i="30"/>
  <c r="D147" i="30"/>
  <c r="E147" i="30"/>
  <c r="F147" i="30"/>
  <c r="G147" i="30"/>
  <c r="H147" i="30"/>
  <c r="I147" i="30"/>
  <c r="C148" i="30"/>
  <c r="D148" i="30"/>
  <c r="E148" i="30"/>
  <c r="F148" i="30"/>
  <c r="G148" i="30"/>
  <c r="H148" i="30"/>
  <c r="I148" i="30"/>
  <c r="C149" i="30"/>
  <c r="D149" i="30"/>
  <c r="E149" i="30"/>
  <c r="F149" i="30"/>
  <c r="G149" i="30"/>
  <c r="H149" i="30"/>
  <c r="I149" i="30"/>
  <c r="C150" i="30"/>
  <c r="D150" i="30"/>
  <c r="E150" i="30"/>
  <c r="F150" i="30"/>
  <c r="G150" i="30"/>
  <c r="H150" i="30"/>
  <c r="I150" i="30"/>
  <c r="C151" i="30"/>
  <c r="D151" i="30"/>
  <c r="E151" i="30"/>
  <c r="F151" i="30"/>
  <c r="G151" i="30"/>
  <c r="H151" i="30"/>
  <c r="I151" i="30"/>
  <c r="C152" i="30"/>
  <c r="D152" i="30"/>
  <c r="E152" i="30"/>
  <c r="F152" i="30"/>
  <c r="G152" i="30"/>
  <c r="H152" i="30"/>
  <c r="I152" i="30"/>
  <c r="C153" i="30"/>
  <c r="D153" i="30"/>
  <c r="E153" i="30"/>
  <c r="F153" i="30"/>
  <c r="G153" i="30"/>
  <c r="H153" i="30"/>
  <c r="I153" i="30"/>
  <c r="C154" i="30"/>
  <c r="D154" i="30"/>
  <c r="E154" i="30"/>
  <c r="F154" i="30"/>
  <c r="G154" i="30"/>
  <c r="H154" i="30"/>
  <c r="I154" i="30"/>
  <c r="C155" i="30"/>
  <c r="D155" i="30"/>
  <c r="E155" i="30"/>
  <c r="F155" i="30"/>
  <c r="G155" i="30"/>
  <c r="H155" i="30"/>
  <c r="I155" i="30"/>
  <c r="C156" i="30"/>
  <c r="D156" i="30"/>
  <c r="E156" i="30"/>
  <c r="F156" i="30"/>
  <c r="G156" i="30"/>
  <c r="H156" i="30"/>
  <c r="I156" i="30"/>
  <c r="M234" i="30" l="1"/>
  <c r="M870" i="30" s="1"/>
  <c r="T769" i="30"/>
  <c r="R769" i="30"/>
  <c r="P769" i="30"/>
  <c r="V769" i="30"/>
  <c r="N769" i="30"/>
  <c r="S769" i="30"/>
  <c r="U769" i="30"/>
  <c r="M769" i="30"/>
  <c r="O769" i="30"/>
  <c r="Q769" i="30"/>
  <c r="I92" i="35" l="1"/>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191" i="28"/>
  <c r="F190" i="28"/>
  <c r="F79" i="28"/>
  <c r="H64" i="2"/>
  <c r="G64" i="2"/>
  <c r="F64" i="2"/>
  <c r="E64" i="2"/>
  <c r="D64" i="2"/>
  <c r="J63" i="2"/>
  <c r="J62" i="2"/>
  <c r="H35" i="2"/>
  <c r="G35" i="2"/>
  <c r="F35" i="2"/>
  <c r="E35" i="2"/>
  <c r="D35" i="2"/>
  <c r="J34" i="2"/>
  <c r="J33" i="2"/>
  <c r="D55" i="5"/>
  <c r="F98" i="4"/>
  <c r="G98" i="4"/>
  <c r="H98" i="4"/>
  <c r="I98" i="4"/>
  <c r="E98" i="4"/>
  <c r="D7" i="2"/>
  <c r="D23" i="35" l="1"/>
  <c r="J64" i="2"/>
  <c r="J35" i="2"/>
  <c r="B5" i="35"/>
  <c r="D32" i="35" l="1"/>
  <c r="K23" i="35"/>
  <c r="E58" i="11"/>
  <c r="F58" i="11"/>
  <c r="G58" i="11"/>
  <c r="H58" i="11"/>
  <c r="D58" i="11"/>
  <c r="D45" i="35" l="1"/>
  <c r="K32" i="35"/>
  <c r="E25" i="28"/>
  <c r="D27" i="28"/>
  <c r="E55" i="5"/>
  <c r="F55" i="5"/>
  <c r="G55" i="5"/>
  <c r="H55" i="5"/>
  <c r="D48" i="5"/>
  <c r="E41" i="5"/>
  <c r="F21" i="29" s="1"/>
  <c r="F41" i="5"/>
  <c r="G21" i="29" s="1"/>
  <c r="G41" i="5"/>
  <c r="H21" i="29" s="1"/>
  <c r="H41" i="5"/>
  <c r="I21" i="29" s="1"/>
  <c r="D41" i="5"/>
  <c r="E21" i="29" s="1"/>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155" i="2" l="1"/>
  <c r="F155" i="2"/>
  <c r="G155" i="2"/>
  <c r="H155" i="2"/>
  <c r="E146" i="2"/>
  <c r="F71" i="4" s="1"/>
  <c r="F146" i="2"/>
  <c r="G71" i="4" s="1"/>
  <c r="G146" i="2"/>
  <c r="H146" i="2"/>
  <c r="H156" i="2" s="1"/>
  <c r="D155" i="2"/>
  <c r="D156" i="2" s="1"/>
  <c r="G156" i="2" l="1"/>
  <c r="F156" i="2"/>
  <c r="I71" i="4"/>
  <c r="E156" i="2"/>
  <c r="H71" i="4"/>
  <c r="F85" i="4" l="1"/>
  <c r="F87" i="4" s="1"/>
  <c r="G85" i="4"/>
  <c r="G87" i="4" s="1"/>
  <c r="H85" i="4"/>
  <c r="H87" i="4" s="1"/>
  <c r="I85" i="4"/>
  <c r="I87" i="4" s="1"/>
  <c r="C43" i="19" l="1"/>
  <c r="C42" i="19"/>
  <c r="C40" i="19"/>
  <c r="C39" i="19"/>
  <c r="C37" i="19"/>
  <c r="C36" i="19"/>
  <c r="C34" i="19"/>
  <c r="C13" i="4" l="1"/>
  <c r="C14" i="4"/>
  <c r="C15" i="4"/>
  <c r="C16" i="4"/>
  <c r="C17" i="4"/>
  <c r="C18" i="4"/>
  <c r="H88" i="2" l="1"/>
  <c r="G88" i="2"/>
  <c r="F88" i="2"/>
  <c r="E88" i="2"/>
  <c r="D88" i="2"/>
  <c r="J87" i="2"/>
  <c r="J86" i="2"/>
  <c r="H59" i="2"/>
  <c r="G59" i="2"/>
  <c r="F59" i="2"/>
  <c r="E59" i="2"/>
  <c r="D59" i="2"/>
  <c r="J58" i="2"/>
  <c r="J57" i="2"/>
  <c r="J88" i="2" l="1"/>
  <c r="J59" i="2"/>
  <c r="J23" i="2" l="1"/>
  <c r="B3" i="1" l="1"/>
  <c r="F65" i="4" l="1"/>
  <c r="G65" i="4"/>
  <c r="H65" i="4"/>
  <c r="I65" i="4"/>
  <c r="E65" i="4"/>
  <c r="D62" i="11" l="1"/>
  <c r="M856" i="30" l="1"/>
  <c r="F64" i="4" l="1"/>
  <c r="G64" i="4"/>
  <c r="H64" i="4"/>
  <c r="I64" i="4"/>
  <c r="E64" i="4"/>
  <c r="E77" i="4" s="1"/>
  <c r="E89" i="4" s="1"/>
  <c r="B3" i="17" l="1"/>
  <c r="B3" i="31" l="1"/>
  <c r="B3" i="27"/>
  <c r="C8" i="28"/>
  <c r="G36" i="10" s="1"/>
  <c r="E17" i="2"/>
  <c r="E51" i="2"/>
  <c r="E67" i="2" s="1"/>
  <c r="E80" i="2"/>
  <c r="D6" i="5"/>
  <c r="C8" i="13"/>
  <c r="B4" i="35" s="1"/>
  <c r="F17" i="2"/>
  <c r="F51" i="2"/>
  <c r="F67" i="2" s="1"/>
  <c r="F80" i="2"/>
  <c r="G17" i="2"/>
  <c r="G51" i="2"/>
  <c r="G67" i="2" s="1"/>
  <c r="G80" i="2"/>
  <c r="H17" i="2"/>
  <c r="H51" i="2"/>
  <c r="H67" i="2" s="1"/>
  <c r="H80" i="2"/>
  <c r="D17" i="2"/>
  <c r="D51" i="2"/>
  <c r="D67" i="2" s="1"/>
  <c r="D80" i="2"/>
  <c r="B22" i="17"/>
  <c r="B21" i="17"/>
  <c r="B20" i="17"/>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H110" i="2"/>
  <c r="G110" i="2"/>
  <c r="F110" i="2"/>
  <c r="E110" i="2"/>
  <c r="D110"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2" i="11"/>
  <c r="F62" i="11"/>
  <c r="G62" i="11"/>
  <c r="H62" i="11"/>
  <c r="A3" i="21"/>
  <c r="A3" i="1"/>
  <c r="A3" i="14"/>
  <c r="A3" i="2"/>
  <c r="A3" i="5"/>
  <c r="A3" i="17"/>
  <c r="A3" i="30"/>
  <c r="A3" i="27"/>
  <c r="A3" i="31"/>
  <c r="A3" i="10"/>
  <c r="A3" i="11"/>
  <c r="A3" i="19"/>
  <c r="A3" i="28"/>
  <c r="D47" i="5"/>
  <c r="D40" i="5"/>
  <c r="D89" i="28"/>
  <c r="E89" i="28" s="1"/>
  <c r="F89" i="28" s="1"/>
  <c r="G89" i="28" s="1"/>
  <c r="H89" i="28" s="1"/>
  <c r="I89" i="28" s="1"/>
  <c r="I54" i="28"/>
  <c r="A2" i="14"/>
  <c r="A2" i="1"/>
  <c r="A2" i="4"/>
  <c r="A2" i="2"/>
  <c r="A2" i="5"/>
  <c r="A2" i="17"/>
  <c r="A2" i="30"/>
  <c r="A2" i="27"/>
  <c r="A2" i="31"/>
  <c r="A2" i="10"/>
  <c r="A2" i="29"/>
  <c r="A2" i="11"/>
  <c r="A2" i="19"/>
  <c r="A2" i="21"/>
  <c r="A2" i="28"/>
  <c r="D23" i="11"/>
  <c r="E127" i="2"/>
  <c r="F127" i="2"/>
  <c r="G127" i="2"/>
  <c r="H127" i="2"/>
  <c r="F184" i="28"/>
  <c r="F183" i="28"/>
  <c r="A3" i="13"/>
  <c r="D60" i="19"/>
  <c r="D62" i="19" s="1"/>
  <c r="E60" i="19"/>
  <c r="E62" i="19" s="1"/>
  <c r="F60" i="19"/>
  <c r="F62" i="19" s="1"/>
  <c r="G60" i="19"/>
  <c r="G62" i="19" s="1"/>
  <c r="H60" i="19"/>
  <c r="H62" i="19" s="1"/>
  <c r="D67" i="19"/>
  <c r="E67" i="19"/>
  <c r="F67" i="19"/>
  <c r="G67" i="19"/>
  <c r="H67" i="19"/>
  <c r="E47" i="11"/>
  <c r="E66" i="11" s="1"/>
  <c r="F47" i="11"/>
  <c r="F66" i="11" s="1"/>
  <c r="G47" i="11"/>
  <c r="G66" i="11" s="1"/>
  <c r="H47" i="11"/>
  <c r="H66" i="11" s="1"/>
  <c r="D66" i="11"/>
  <c r="E35" i="11"/>
  <c r="F35" i="11"/>
  <c r="G35" i="11"/>
  <c r="H35" i="11"/>
  <c r="D35" i="11"/>
  <c r="E43" i="11"/>
  <c r="F43" i="11"/>
  <c r="G43" i="11"/>
  <c r="H43" i="11"/>
  <c r="D43" i="11"/>
  <c r="E40" i="5"/>
  <c r="F40" i="5"/>
  <c r="G40" i="5"/>
  <c r="H40" i="5"/>
  <c r="D122" i="2"/>
  <c r="E122" i="2"/>
  <c r="F122" i="2"/>
  <c r="G122" i="2"/>
  <c r="H122" i="2"/>
  <c r="H78" i="2"/>
  <c r="G78" i="2"/>
  <c r="F78" i="2"/>
  <c r="E78" i="2"/>
  <c r="D78" i="2"/>
  <c r="J77" i="2"/>
  <c r="J76" i="2"/>
  <c r="B47" i="1"/>
  <c r="D13" i="28"/>
  <c r="E13" i="28"/>
  <c r="F13" i="28"/>
  <c r="G13" i="28"/>
  <c r="H13" i="28"/>
  <c r="I13" i="28"/>
  <c r="J13" i="28"/>
  <c r="K13" i="28"/>
  <c r="L13" i="28"/>
  <c r="M13" i="28"/>
  <c r="N13" i="28"/>
  <c r="C13" i="28"/>
  <c r="C7" i="28"/>
  <c r="D52" i="19"/>
  <c r="D51" i="19"/>
  <c r="E52" i="19"/>
  <c r="F52" i="19" s="1"/>
  <c r="F51" i="19" s="1"/>
  <c r="D109" i="2"/>
  <c r="D108" i="2" s="1"/>
  <c r="F189" i="28"/>
  <c r="F188" i="28"/>
  <c r="F187" i="28"/>
  <c r="E216" i="28"/>
  <c r="F186" i="28" s="1"/>
  <c r="B216" i="28"/>
  <c r="F185" i="28" s="1"/>
  <c r="G128" i="28"/>
  <c r="D15" i="2"/>
  <c r="E541" i="30"/>
  <c r="D541" i="30"/>
  <c r="E451" i="30"/>
  <c r="D451" i="30"/>
  <c r="I179" i="30"/>
  <c r="I200" i="30" s="1"/>
  <c r="H179" i="30"/>
  <c r="H200" i="30" s="1"/>
  <c r="G179" i="30"/>
  <c r="G200" i="30" s="1"/>
  <c r="F179" i="30"/>
  <c r="F200" i="30" s="1"/>
  <c r="E179" i="30"/>
  <c r="E200" i="30" s="1"/>
  <c r="D179" i="30"/>
  <c r="D200" i="30" s="1"/>
  <c r="C179" i="30"/>
  <c r="C200" i="30" s="1"/>
  <c r="I178" i="30"/>
  <c r="I199" i="30" s="1"/>
  <c r="H178" i="30"/>
  <c r="H199" i="30" s="1"/>
  <c r="G178" i="30"/>
  <c r="G199" i="30" s="1"/>
  <c r="F178" i="30"/>
  <c r="F199" i="30" s="1"/>
  <c r="E178" i="30"/>
  <c r="E199" i="30" s="1"/>
  <c r="D178" i="30"/>
  <c r="D199" i="30" s="1"/>
  <c r="C178" i="30"/>
  <c r="C199" i="30" s="1"/>
  <c r="I177" i="30"/>
  <c r="I198" i="30" s="1"/>
  <c r="H177" i="30"/>
  <c r="H198" i="30" s="1"/>
  <c r="G177" i="30"/>
  <c r="G198" i="30" s="1"/>
  <c r="F177" i="30"/>
  <c r="F198" i="30" s="1"/>
  <c r="E177" i="30"/>
  <c r="E198" i="30" s="1"/>
  <c r="D177" i="30"/>
  <c r="D198" i="30" s="1"/>
  <c r="C177" i="30"/>
  <c r="C198" i="30" s="1"/>
  <c r="I176" i="30"/>
  <c r="I197" i="30" s="1"/>
  <c r="H176" i="30"/>
  <c r="H197" i="30" s="1"/>
  <c r="G176" i="30"/>
  <c r="G197" i="30" s="1"/>
  <c r="F176" i="30"/>
  <c r="F197" i="30" s="1"/>
  <c r="E176" i="30"/>
  <c r="E197" i="30" s="1"/>
  <c r="D176" i="30"/>
  <c r="D197" i="30" s="1"/>
  <c r="C176" i="30"/>
  <c r="C197" i="30" s="1"/>
  <c r="I175" i="30"/>
  <c r="I196" i="30" s="1"/>
  <c r="H175" i="30"/>
  <c r="H196" i="30" s="1"/>
  <c r="G175" i="30"/>
  <c r="G196" i="30" s="1"/>
  <c r="F175" i="30"/>
  <c r="F196" i="30" s="1"/>
  <c r="E175" i="30"/>
  <c r="E196" i="30" s="1"/>
  <c r="D175" i="30"/>
  <c r="D196" i="30" s="1"/>
  <c r="C175" i="30"/>
  <c r="C196" i="30" s="1"/>
  <c r="I174" i="30"/>
  <c r="I195" i="30" s="1"/>
  <c r="H174" i="30"/>
  <c r="H195" i="30" s="1"/>
  <c r="G174" i="30"/>
  <c r="G195" i="30" s="1"/>
  <c r="F174" i="30"/>
  <c r="F195" i="30" s="1"/>
  <c r="E174" i="30"/>
  <c r="E195" i="30" s="1"/>
  <c r="D174" i="30"/>
  <c r="D195" i="30" s="1"/>
  <c r="C174" i="30"/>
  <c r="C195" i="30" s="1"/>
  <c r="I173" i="30"/>
  <c r="I194" i="30" s="1"/>
  <c r="H173" i="30"/>
  <c r="H194" i="30" s="1"/>
  <c r="G173" i="30"/>
  <c r="G194" i="30" s="1"/>
  <c r="F173" i="30"/>
  <c r="F194" i="30" s="1"/>
  <c r="E173" i="30"/>
  <c r="E194" i="30" s="1"/>
  <c r="D173" i="30"/>
  <c r="D194" i="30" s="1"/>
  <c r="C173" i="30"/>
  <c r="C194" i="30" s="1"/>
  <c r="I172" i="30"/>
  <c r="I193" i="30" s="1"/>
  <c r="H172" i="30"/>
  <c r="H193" i="30" s="1"/>
  <c r="G172" i="30"/>
  <c r="G193" i="30" s="1"/>
  <c r="F172" i="30"/>
  <c r="F193" i="30" s="1"/>
  <c r="E172" i="30"/>
  <c r="E193" i="30" s="1"/>
  <c r="D172" i="30"/>
  <c r="D193" i="30" s="1"/>
  <c r="C172" i="30"/>
  <c r="C193" i="30" s="1"/>
  <c r="I171" i="30"/>
  <c r="I192" i="30" s="1"/>
  <c r="H171" i="30"/>
  <c r="H192" i="30" s="1"/>
  <c r="G171" i="30"/>
  <c r="G192" i="30" s="1"/>
  <c r="F171" i="30"/>
  <c r="F192" i="30" s="1"/>
  <c r="E171" i="30"/>
  <c r="E192" i="30" s="1"/>
  <c r="D171" i="30"/>
  <c r="D192" i="30" s="1"/>
  <c r="C171" i="30"/>
  <c r="C192" i="30" s="1"/>
  <c r="I170" i="30"/>
  <c r="I191" i="30" s="1"/>
  <c r="H170" i="30"/>
  <c r="H191" i="30" s="1"/>
  <c r="G170" i="30"/>
  <c r="G191" i="30" s="1"/>
  <c r="F170" i="30"/>
  <c r="F191" i="30" s="1"/>
  <c r="E170" i="30"/>
  <c r="E191" i="30" s="1"/>
  <c r="D170" i="30"/>
  <c r="D191" i="30" s="1"/>
  <c r="C170" i="30"/>
  <c r="C191" i="30" s="1"/>
  <c r="I169" i="30"/>
  <c r="I190" i="30" s="1"/>
  <c r="H169" i="30"/>
  <c r="H190" i="30" s="1"/>
  <c r="G169" i="30"/>
  <c r="G190" i="30" s="1"/>
  <c r="F169" i="30"/>
  <c r="F190" i="30" s="1"/>
  <c r="E169" i="30"/>
  <c r="E190" i="30" s="1"/>
  <c r="D169" i="30"/>
  <c r="D190" i="30" s="1"/>
  <c r="C169" i="30"/>
  <c r="C190" i="30" s="1"/>
  <c r="I168" i="30"/>
  <c r="I189" i="30" s="1"/>
  <c r="H168" i="30"/>
  <c r="H189" i="30" s="1"/>
  <c r="G168" i="30"/>
  <c r="G189" i="30" s="1"/>
  <c r="F168" i="30"/>
  <c r="F189" i="30" s="1"/>
  <c r="E168" i="30"/>
  <c r="E189" i="30" s="1"/>
  <c r="D168" i="30"/>
  <c r="D189" i="30" s="1"/>
  <c r="C168" i="30"/>
  <c r="C189" i="30" s="1"/>
  <c r="I167" i="30"/>
  <c r="I188" i="30" s="1"/>
  <c r="H167" i="30"/>
  <c r="H188" i="30" s="1"/>
  <c r="G167" i="30"/>
  <c r="G188" i="30" s="1"/>
  <c r="F167" i="30"/>
  <c r="F188" i="30" s="1"/>
  <c r="E167" i="30"/>
  <c r="E188" i="30" s="1"/>
  <c r="D167" i="30"/>
  <c r="D188" i="30" s="1"/>
  <c r="C167" i="30"/>
  <c r="C188" i="30" s="1"/>
  <c r="I166" i="30"/>
  <c r="I187" i="30" s="1"/>
  <c r="H166" i="30"/>
  <c r="H187" i="30" s="1"/>
  <c r="G166" i="30"/>
  <c r="G187" i="30" s="1"/>
  <c r="F166" i="30"/>
  <c r="F187" i="30" s="1"/>
  <c r="E166" i="30"/>
  <c r="E187" i="30" s="1"/>
  <c r="D166" i="30"/>
  <c r="D187" i="30" s="1"/>
  <c r="C166" i="30"/>
  <c r="C187" i="30" s="1"/>
  <c r="I165" i="30"/>
  <c r="I186" i="30" s="1"/>
  <c r="H165" i="30"/>
  <c r="H186" i="30" s="1"/>
  <c r="G165" i="30"/>
  <c r="G186" i="30" s="1"/>
  <c r="F165" i="30"/>
  <c r="F186" i="30" s="1"/>
  <c r="E165" i="30"/>
  <c r="E186" i="30" s="1"/>
  <c r="D165" i="30"/>
  <c r="D186" i="30" s="1"/>
  <c r="B30" i="1"/>
  <c r="T20" i="31"/>
  <c r="D11" i="27" s="1"/>
  <c r="E9" i="27" s="1"/>
  <c r="J48" i="17"/>
  <c r="D40" i="19"/>
  <c r="D39" i="19"/>
  <c r="H23" i="19"/>
  <c r="G23" i="19"/>
  <c r="F23" i="19"/>
  <c r="E23" i="19"/>
  <c r="D23" i="19"/>
  <c r="H16" i="11"/>
  <c r="G16" i="11"/>
  <c r="F16" i="11"/>
  <c r="E16" i="11"/>
  <c r="D16" i="11"/>
  <c r="I18" i="29"/>
  <c r="H18" i="29"/>
  <c r="G18" i="29"/>
  <c r="F18" i="29"/>
  <c r="E18" i="29"/>
  <c r="AC600" i="31"/>
  <c r="AC601" i="31" s="1"/>
  <c r="AB600" i="31"/>
  <c r="AB601" i="31" s="1"/>
  <c r="AA600" i="31"/>
  <c r="AA601" i="31" s="1"/>
  <c r="Z600" i="31"/>
  <c r="Z601" i="31" s="1"/>
  <c r="Y600" i="31"/>
  <c r="Y601" i="31" s="1"/>
  <c r="X600" i="31"/>
  <c r="X601" i="31" s="1"/>
  <c r="W600" i="31"/>
  <c r="W601" i="31" s="1"/>
  <c r="V600" i="31"/>
  <c r="V601" i="31" s="1"/>
  <c r="U600" i="31"/>
  <c r="U601" i="31" s="1"/>
  <c r="T600" i="31"/>
  <c r="T601" i="31" s="1"/>
  <c r="AC594" i="31"/>
  <c r="AC595" i="31" s="1"/>
  <c r="AB594" i="31"/>
  <c r="AB595" i="31" s="1"/>
  <c r="AA594" i="31"/>
  <c r="AA595" i="31" s="1"/>
  <c r="Z594" i="31"/>
  <c r="Z595" i="31" s="1"/>
  <c r="Y594" i="31"/>
  <c r="Y595" i="31" s="1"/>
  <c r="X594" i="31"/>
  <c r="X595" i="31" s="1"/>
  <c r="W594" i="31"/>
  <c r="W595" i="31" s="1"/>
  <c r="V594" i="31"/>
  <c r="V595" i="31" s="1"/>
  <c r="U594" i="31"/>
  <c r="U595" i="31" s="1"/>
  <c r="T594" i="31"/>
  <c r="T595" i="31" s="1"/>
  <c r="AC588" i="31"/>
  <c r="AC589" i="31" s="1"/>
  <c r="AB588" i="31"/>
  <c r="AB589" i="31" s="1"/>
  <c r="AA588" i="31"/>
  <c r="AA589" i="31" s="1"/>
  <c r="Z588" i="31"/>
  <c r="Z589" i="31" s="1"/>
  <c r="Y588" i="31"/>
  <c r="Y589" i="31" s="1"/>
  <c r="X588" i="31"/>
  <c r="X589" i="31" s="1"/>
  <c r="W588" i="31"/>
  <c r="W589" i="31" s="1"/>
  <c r="V588" i="31"/>
  <c r="V589" i="31" s="1"/>
  <c r="U588" i="31"/>
  <c r="U589" i="31" s="1"/>
  <c r="T588" i="31"/>
  <c r="T589" i="31" s="1"/>
  <c r="AC580" i="31"/>
  <c r="AC581" i="31" s="1"/>
  <c r="AB580" i="31"/>
  <c r="AB581" i="31" s="1"/>
  <c r="AA580" i="31"/>
  <c r="AA581" i="31" s="1"/>
  <c r="Z580" i="31"/>
  <c r="Z581" i="31" s="1"/>
  <c r="Y580" i="31"/>
  <c r="Y581" i="31" s="1"/>
  <c r="X580" i="31"/>
  <c r="X581" i="31" s="1"/>
  <c r="W580" i="31"/>
  <c r="W581" i="31" s="1"/>
  <c r="V580" i="31"/>
  <c r="V581" i="31" s="1"/>
  <c r="U580" i="31"/>
  <c r="U581" i="31" s="1"/>
  <c r="T580" i="31"/>
  <c r="T581" i="31" s="1"/>
  <c r="AC570" i="31"/>
  <c r="AB570" i="31"/>
  <c r="AA570" i="31"/>
  <c r="Z570" i="31"/>
  <c r="Y570" i="31"/>
  <c r="X570" i="31"/>
  <c r="W570" i="31"/>
  <c r="V570" i="31"/>
  <c r="U570" i="31"/>
  <c r="T570" i="31"/>
  <c r="AC520" i="31"/>
  <c r="AB520" i="31"/>
  <c r="AA520" i="31"/>
  <c r="Z520" i="31"/>
  <c r="Y520" i="31"/>
  <c r="X520" i="31"/>
  <c r="H23" i="27" s="1"/>
  <c r="W520" i="31"/>
  <c r="G23" i="27" s="1"/>
  <c r="V520" i="31"/>
  <c r="F23" i="27" s="1"/>
  <c r="U520" i="31"/>
  <c r="E23" i="27" s="1"/>
  <c r="T520" i="31"/>
  <c r="D23" i="27" s="1"/>
  <c r="AC504" i="31"/>
  <c r="AB504" i="31"/>
  <c r="AA504" i="31"/>
  <c r="Z504" i="31"/>
  <c r="Y504" i="31"/>
  <c r="X504" i="31"/>
  <c r="H22" i="27" s="1"/>
  <c r="W504" i="31"/>
  <c r="G22" i="27" s="1"/>
  <c r="V504" i="31"/>
  <c r="F22" i="27" s="1"/>
  <c r="U504" i="31"/>
  <c r="E22" i="27" s="1"/>
  <c r="T504" i="31"/>
  <c r="D22" i="27" s="1"/>
  <c r="AC477" i="31"/>
  <c r="AB477" i="31"/>
  <c r="AA477" i="31"/>
  <c r="Z477" i="31"/>
  <c r="Y477" i="31"/>
  <c r="X477" i="31"/>
  <c r="H21" i="27" s="1"/>
  <c r="W477" i="31"/>
  <c r="G21" i="27" s="1"/>
  <c r="V477" i="31"/>
  <c r="F21" i="27" s="1"/>
  <c r="U477" i="31"/>
  <c r="E21" i="27" s="1"/>
  <c r="T477" i="31"/>
  <c r="D21" i="27" s="1"/>
  <c r="AC459" i="31"/>
  <c r="AB459" i="31"/>
  <c r="AA459" i="31"/>
  <c r="Z459" i="31"/>
  <c r="Y459" i="31"/>
  <c r="X459" i="31"/>
  <c r="H20" i="27" s="1"/>
  <c r="W459" i="31"/>
  <c r="G20" i="27" s="1"/>
  <c r="V459" i="31"/>
  <c r="F20" i="27" s="1"/>
  <c r="U459" i="31"/>
  <c r="E20" i="27" s="1"/>
  <c r="T459" i="31"/>
  <c r="D20" i="27" s="1"/>
  <c r="T436" i="31"/>
  <c r="D19" i="27" s="1"/>
  <c r="AC332" i="31"/>
  <c r="AB332" i="31"/>
  <c r="AA332" i="31"/>
  <c r="Z332" i="31"/>
  <c r="Y332" i="31"/>
  <c r="X332" i="31"/>
  <c r="H18" i="27" s="1"/>
  <c r="W332" i="31"/>
  <c r="G18" i="27" s="1"/>
  <c r="V332" i="31"/>
  <c r="F18" i="27" s="1"/>
  <c r="U332" i="31"/>
  <c r="E18" i="27" s="1"/>
  <c r="T332" i="31"/>
  <c r="D18" i="27" s="1"/>
  <c r="AC226" i="31"/>
  <c r="AB226" i="31"/>
  <c r="AA226" i="31"/>
  <c r="Z226" i="31"/>
  <c r="Y226" i="31"/>
  <c r="X226" i="31"/>
  <c r="H17" i="27" s="1"/>
  <c r="W226" i="31"/>
  <c r="G17" i="27" s="1"/>
  <c r="V226" i="31"/>
  <c r="F17" i="27" s="1"/>
  <c r="U226" i="31"/>
  <c r="E17" i="27" s="1"/>
  <c r="T226" i="31"/>
  <c r="D17" i="27" s="1"/>
  <c r="AC174" i="31"/>
  <c r="AB174" i="31"/>
  <c r="AA174" i="31"/>
  <c r="Z174" i="31"/>
  <c r="Y174" i="31"/>
  <c r="X174" i="31"/>
  <c r="H16" i="27" s="1"/>
  <c r="W174" i="31"/>
  <c r="G16" i="27" s="1"/>
  <c r="V174" i="31"/>
  <c r="F16" i="27" s="1"/>
  <c r="U174" i="31"/>
  <c r="E16" i="27" s="1"/>
  <c r="T174" i="31"/>
  <c r="D16" i="27" s="1"/>
  <c r="AC158" i="31"/>
  <c r="AB158" i="31"/>
  <c r="AA158" i="31"/>
  <c r="Z158" i="31"/>
  <c r="Y158" i="31"/>
  <c r="X158" i="31"/>
  <c r="H15" i="27" s="1"/>
  <c r="W158" i="31"/>
  <c r="G15" i="27" s="1"/>
  <c r="V158" i="31"/>
  <c r="F15" i="27" s="1"/>
  <c r="U158" i="31"/>
  <c r="E15" i="27" s="1"/>
  <c r="T158" i="31"/>
  <c r="D15" i="27" s="1"/>
  <c r="AC143" i="31"/>
  <c r="AB143" i="31"/>
  <c r="AA143" i="31"/>
  <c r="Z143" i="31"/>
  <c r="Y143" i="31"/>
  <c r="X143" i="31"/>
  <c r="H14" i="27" s="1"/>
  <c r="W143" i="31"/>
  <c r="G14" i="27" s="1"/>
  <c r="V143" i="31"/>
  <c r="F14" i="27" s="1"/>
  <c r="U143" i="31"/>
  <c r="E14" i="27" s="1"/>
  <c r="T143" i="31"/>
  <c r="D14" i="27" s="1"/>
  <c r="AC128" i="31"/>
  <c r="AB128" i="31"/>
  <c r="AA128" i="31"/>
  <c r="Z128" i="31"/>
  <c r="Y128" i="31"/>
  <c r="X128" i="31"/>
  <c r="H13" i="27" s="1"/>
  <c r="W128" i="31"/>
  <c r="G13" i="27" s="1"/>
  <c r="V128" i="31"/>
  <c r="F13" i="27" s="1"/>
  <c r="U128" i="31"/>
  <c r="E13" i="27" s="1"/>
  <c r="T128" i="31"/>
  <c r="D13" i="27" s="1"/>
  <c r="D12" i="27"/>
  <c r="AC20" i="31"/>
  <c r="AB20" i="31"/>
  <c r="AA20" i="31"/>
  <c r="Z20" i="31"/>
  <c r="Y20" i="31"/>
  <c r="X20" i="31"/>
  <c r="H11" i="27" s="1"/>
  <c r="W20" i="31"/>
  <c r="G11" i="27" s="1"/>
  <c r="V20" i="31"/>
  <c r="F11" i="27" s="1"/>
  <c r="U20" i="31"/>
  <c r="E11" i="27" s="1"/>
  <c r="H52" i="27"/>
  <c r="H53" i="27" s="1"/>
  <c r="G52" i="27"/>
  <c r="G53" i="27" s="1"/>
  <c r="F52" i="27"/>
  <c r="F53" i="27" s="1"/>
  <c r="E52" i="27"/>
  <c r="E53" i="27" s="1"/>
  <c r="D52" i="27"/>
  <c r="D53" i="27" s="1"/>
  <c r="H42" i="27"/>
  <c r="G42" i="27"/>
  <c r="F42" i="27"/>
  <c r="E42" i="27"/>
  <c r="D42" i="27"/>
  <c r="B42" i="27"/>
  <c r="H41" i="27"/>
  <c r="G41" i="27"/>
  <c r="F41" i="27"/>
  <c r="E41" i="27"/>
  <c r="D41" i="27"/>
  <c r="B41" i="27"/>
  <c r="H40" i="27"/>
  <c r="G40" i="27"/>
  <c r="F40" i="27"/>
  <c r="E40" i="27"/>
  <c r="D40" i="27"/>
  <c r="B40" i="27"/>
  <c r="H39" i="27"/>
  <c r="G39" i="27"/>
  <c r="F39" i="27"/>
  <c r="E39" i="27"/>
  <c r="D39" i="27"/>
  <c r="B39" i="27"/>
  <c r="H38" i="27"/>
  <c r="G38" i="27"/>
  <c r="F38" i="27"/>
  <c r="E38" i="27"/>
  <c r="D38" i="27"/>
  <c r="B38" i="27"/>
  <c r="H37" i="27"/>
  <c r="G37" i="27"/>
  <c r="F37" i="27"/>
  <c r="E37" i="27"/>
  <c r="D37" i="27"/>
  <c r="B37" i="27"/>
  <c r="H36" i="27"/>
  <c r="G36" i="27"/>
  <c r="F36" i="27"/>
  <c r="E36" i="27"/>
  <c r="D36" i="27"/>
  <c r="B36" i="27"/>
  <c r="H35" i="27"/>
  <c r="G35" i="27"/>
  <c r="F35" i="27"/>
  <c r="E35" i="27"/>
  <c r="D35" i="27"/>
  <c r="B35" i="27"/>
  <c r="H34" i="27"/>
  <c r="G34" i="27"/>
  <c r="F34" i="27"/>
  <c r="E34" i="27"/>
  <c r="D34" i="27"/>
  <c r="B34" i="27"/>
  <c r="D33" i="27"/>
  <c r="B33" i="27"/>
  <c r="H32" i="27"/>
  <c r="G32" i="27"/>
  <c r="F32" i="27"/>
  <c r="E32" i="27"/>
  <c r="D32" i="27"/>
  <c r="B32" i="27"/>
  <c r="H31" i="27"/>
  <c r="G31" i="27"/>
  <c r="F31" i="27"/>
  <c r="E31" i="27"/>
  <c r="D31" i="27"/>
  <c r="B31" i="27"/>
  <c r="H30" i="27"/>
  <c r="G30" i="27"/>
  <c r="F30" i="27"/>
  <c r="E30" i="27"/>
  <c r="D30" i="27"/>
  <c r="B30" i="27"/>
  <c r="H29" i="27"/>
  <c r="G29" i="27"/>
  <c r="F29" i="27"/>
  <c r="E29" i="27"/>
  <c r="D29" i="27"/>
  <c r="B29" i="27"/>
  <c r="H28" i="27"/>
  <c r="G28" i="27"/>
  <c r="F28" i="27"/>
  <c r="E28" i="27"/>
  <c r="D28" i="27"/>
  <c r="B28" i="27"/>
  <c r="H27" i="27"/>
  <c r="G27" i="27"/>
  <c r="F27" i="27"/>
  <c r="E27" i="27"/>
  <c r="D27" i="27"/>
  <c r="B27" i="27"/>
  <c r="V900" i="30"/>
  <c r="U900" i="30"/>
  <c r="T900" i="30"/>
  <c r="S900" i="30"/>
  <c r="R900" i="30"/>
  <c r="Q900" i="30"/>
  <c r="P900" i="30"/>
  <c r="O900" i="30"/>
  <c r="N900" i="30"/>
  <c r="M900" i="30"/>
  <c r="V856" i="30"/>
  <c r="U856" i="30"/>
  <c r="T856" i="30"/>
  <c r="S856" i="30"/>
  <c r="R856" i="30"/>
  <c r="Q856" i="30"/>
  <c r="P856" i="30"/>
  <c r="O856" i="30"/>
  <c r="N856" i="30"/>
  <c r="V845" i="30"/>
  <c r="V852" i="30" s="1"/>
  <c r="U845" i="30"/>
  <c r="U852" i="30" s="1"/>
  <c r="T845" i="30"/>
  <c r="T852" i="30" s="1"/>
  <c r="S845" i="30"/>
  <c r="S852" i="30" s="1"/>
  <c r="R845" i="30"/>
  <c r="R852" i="30" s="1"/>
  <c r="Q845" i="30"/>
  <c r="Q852" i="30" s="1"/>
  <c r="P845" i="30"/>
  <c r="P852" i="30" s="1"/>
  <c r="O845" i="30"/>
  <c r="O852" i="30" s="1"/>
  <c r="N845" i="30"/>
  <c r="E47" i="17" s="1"/>
  <c r="M845" i="30"/>
  <c r="M852" i="30" s="1"/>
  <c r="V822" i="30"/>
  <c r="U822" i="30"/>
  <c r="T822" i="30"/>
  <c r="S822" i="30"/>
  <c r="R822" i="30"/>
  <c r="Q822" i="30"/>
  <c r="P822" i="30"/>
  <c r="O822" i="30"/>
  <c r="N822" i="30"/>
  <c r="M822" i="30"/>
  <c r="X807" i="30"/>
  <c r="X808" i="30" s="1"/>
  <c r="X813" i="30" s="1"/>
  <c r="X817" i="30" s="1"/>
  <c r="X778" i="30"/>
  <c r="X777" i="30"/>
  <c r="X776" i="30"/>
  <c r="I764" i="30"/>
  <c r="H764" i="30"/>
  <c r="G764" i="30"/>
  <c r="F764" i="30"/>
  <c r="E764" i="30"/>
  <c r="D764" i="30"/>
  <c r="C764" i="30"/>
  <c r="V759" i="30"/>
  <c r="U759" i="30"/>
  <c r="T759" i="30"/>
  <c r="S759" i="30"/>
  <c r="R759" i="30"/>
  <c r="Q759" i="30"/>
  <c r="P759" i="30"/>
  <c r="O759" i="30"/>
  <c r="N759" i="30"/>
  <c r="M759" i="30"/>
  <c r="C754" i="30"/>
  <c r="V747" i="30"/>
  <c r="U747" i="30"/>
  <c r="T747" i="30"/>
  <c r="S747" i="30"/>
  <c r="R747" i="30"/>
  <c r="Q747" i="30"/>
  <c r="P747" i="30"/>
  <c r="O747" i="30"/>
  <c r="N747" i="30"/>
  <c r="M747" i="30"/>
  <c r="I731" i="30"/>
  <c r="H731" i="30"/>
  <c r="G731" i="30"/>
  <c r="F731" i="30"/>
  <c r="D731" i="30"/>
  <c r="C731" i="30"/>
  <c r="V725" i="30"/>
  <c r="U725" i="30"/>
  <c r="T725" i="30"/>
  <c r="S725" i="30"/>
  <c r="R725" i="30"/>
  <c r="Q725" i="30"/>
  <c r="P725" i="30"/>
  <c r="O725" i="30"/>
  <c r="N725" i="30"/>
  <c r="M725" i="30"/>
  <c r="C724" i="30"/>
  <c r="C709" i="30"/>
  <c r="V702" i="30"/>
  <c r="U702" i="30"/>
  <c r="T702" i="30"/>
  <c r="S702" i="30"/>
  <c r="R702" i="30"/>
  <c r="Q702" i="30"/>
  <c r="P702" i="30"/>
  <c r="O702" i="30"/>
  <c r="N702" i="30"/>
  <c r="M702" i="30"/>
  <c r="I700" i="30"/>
  <c r="H700" i="30"/>
  <c r="G700" i="30"/>
  <c r="F700" i="30"/>
  <c r="E700" i="30"/>
  <c r="D700" i="30"/>
  <c r="C700" i="30"/>
  <c r="I699" i="30"/>
  <c r="H699" i="30"/>
  <c r="G699" i="30"/>
  <c r="F699" i="30"/>
  <c r="E699" i="30"/>
  <c r="D699" i="30"/>
  <c r="C699" i="30"/>
  <c r="I698" i="30"/>
  <c r="H698" i="30"/>
  <c r="G698" i="30"/>
  <c r="F698" i="30"/>
  <c r="E698" i="30"/>
  <c r="D698" i="30"/>
  <c r="C698" i="30"/>
  <c r="I697" i="30"/>
  <c r="H697" i="30"/>
  <c r="G697" i="30"/>
  <c r="F697" i="30"/>
  <c r="E697" i="30"/>
  <c r="D697" i="30"/>
  <c r="C697" i="30"/>
  <c r="V691" i="30"/>
  <c r="U691" i="30"/>
  <c r="T691" i="30"/>
  <c r="S691" i="30"/>
  <c r="R691" i="30"/>
  <c r="Q691" i="30"/>
  <c r="P691" i="30"/>
  <c r="O691" i="30"/>
  <c r="N691" i="30"/>
  <c r="M691" i="30"/>
  <c r="E689" i="30"/>
  <c r="D689" i="30"/>
  <c r="C689" i="30"/>
  <c r="E688" i="30"/>
  <c r="D688" i="30"/>
  <c r="C688" i="30"/>
  <c r="E687" i="30"/>
  <c r="D687" i="30"/>
  <c r="C687" i="30"/>
  <c r="E686" i="30"/>
  <c r="D686" i="30"/>
  <c r="C686" i="30"/>
  <c r="V678" i="30"/>
  <c r="U678" i="30"/>
  <c r="T678" i="30"/>
  <c r="S678" i="30"/>
  <c r="R678" i="30"/>
  <c r="Q678" i="30"/>
  <c r="P678" i="30"/>
  <c r="O678" i="30"/>
  <c r="N678" i="30"/>
  <c r="M678" i="30"/>
  <c r="I676" i="30"/>
  <c r="H676" i="30"/>
  <c r="G676" i="30"/>
  <c r="F676" i="30"/>
  <c r="E676" i="30"/>
  <c r="D676" i="30"/>
  <c r="C676" i="30"/>
  <c r="I675" i="30"/>
  <c r="H675" i="30"/>
  <c r="G675" i="30"/>
  <c r="F675" i="30"/>
  <c r="E675" i="30"/>
  <c r="D675" i="30"/>
  <c r="C675" i="30"/>
  <c r="I674" i="30"/>
  <c r="H674" i="30"/>
  <c r="G674" i="30"/>
  <c r="F674" i="30"/>
  <c r="E674" i="30"/>
  <c r="D674" i="30"/>
  <c r="C674" i="30"/>
  <c r="I673" i="30"/>
  <c r="H673" i="30"/>
  <c r="G673" i="30"/>
  <c r="F673" i="30"/>
  <c r="E673" i="30"/>
  <c r="D673" i="30"/>
  <c r="C673" i="30"/>
  <c r="V667" i="30"/>
  <c r="U667" i="30"/>
  <c r="T667" i="30"/>
  <c r="S667" i="30"/>
  <c r="R667" i="30"/>
  <c r="Q667" i="30"/>
  <c r="P667" i="30"/>
  <c r="O667" i="30"/>
  <c r="N667" i="30"/>
  <c r="M667" i="30"/>
  <c r="E665" i="30"/>
  <c r="D665" i="30"/>
  <c r="C665" i="30"/>
  <c r="E664" i="30"/>
  <c r="D664" i="30"/>
  <c r="C664" i="30"/>
  <c r="E663" i="30"/>
  <c r="D663" i="30"/>
  <c r="C663" i="30"/>
  <c r="E662" i="30"/>
  <c r="D662" i="30"/>
  <c r="C662" i="30"/>
  <c r="V654" i="30"/>
  <c r="U654" i="30"/>
  <c r="T654" i="30"/>
  <c r="S654" i="30"/>
  <c r="R654" i="30"/>
  <c r="Q654" i="30"/>
  <c r="P654" i="30"/>
  <c r="O654" i="30"/>
  <c r="N654" i="30"/>
  <c r="M654" i="30"/>
  <c r="I647" i="30"/>
  <c r="H647" i="30"/>
  <c r="G647" i="30"/>
  <c r="F647" i="30"/>
  <c r="E647" i="30"/>
  <c r="D647" i="30"/>
  <c r="C647" i="30"/>
  <c r="I646" i="30"/>
  <c r="H646" i="30"/>
  <c r="G646" i="30"/>
  <c r="F646" i="30"/>
  <c r="E646" i="30"/>
  <c r="D646" i="30"/>
  <c r="C646" i="30"/>
  <c r="I645" i="30"/>
  <c r="H645" i="30"/>
  <c r="G645" i="30"/>
  <c r="F645" i="30"/>
  <c r="E645" i="30"/>
  <c r="D645" i="30"/>
  <c r="C645" i="30"/>
  <c r="I644" i="30"/>
  <c r="H644" i="30"/>
  <c r="G644" i="30"/>
  <c r="F644" i="30"/>
  <c r="E644" i="30"/>
  <c r="D644" i="30"/>
  <c r="C644" i="30"/>
  <c r="V638" i="30"/>
  <c r="U638" i="30"/>
  <c r="T638" i="30"/>
  <c r="S638" i="30"/>
  <c r="R638" i="30"/>
  <c r="Q638" i="30"/>
  <c r="P638" i="30"/>
  <c r="O638" i="30"/>
  <c r="N638" i="30"/>
  <c r="M638" i="30"/>
  <c r="E636" i="30"/>
  <c r="D636" i="30"/>
  <c r="C636" i="30"/>
  <c r="E635" i="30"/>
  <c r="D635" i="30"/>
  <c r="C635" i="30"/>
  <c r="E634" i="30"/>
  <c r="D634" i="30"/>
  <c r="C634" i="30"/>
  <c r="E633" i="30"/>
  <c r="D633" i="30"/>
  <c r="C633" i="30"/>
  <c r="V625" i="30"/>
  <c r="U625" i="30"/>
  <c r="T625" i="30"/>
  <c r="S625" i="30"/>
  <c r="R625" i="30"/>
  <c r="Q625" i="30"/>
  <c r="P625" i="30"/>
  <c r="O625" i="30"/>
  <c r="N625" i="30"/>
  <c r="M625" i="30"/>
  <c r="C541" i="30"/>
  <c r="V535" i="30"/>
  <c r="U535" i="30"/>
  <c r="T535" i="30"/>
  <c r="S535" i="30"/>
  <c r="R535" i="30"/>
  <c r="Q535" i="30"/>
  <c r="P535" i="30"/>
  <c r="O535" i="30"/>
  <c r="N535" i="30"/>
  <c r="M535" i="30"/>
  <c r="C451" i="30"/>
  <c r="V443" i="30"/>
  <c r="U443" i="30"/>
  <c r="T443" i="30"/>
  <c r="S443" i="30"/>
  <c r="R443" i="30"/>
  <c r="Q443" i="30"/>
  <c r="P443" i="30"/>
  <c r="O443" i="30"/>
  <c r="N443" i="30"/>
  <c r="M443" i="30"/>
  <c r="E397" i="30"/>
  <c r="D397" i="30"/>
  <c r="C397" i="30"/>
  <c r="V391" i="30"/>
  <c r="U391" i="30"/>
  <c r="T391" i="30"/>
  <c r="S391" i="30"/>
  <c r="R391" i="30"/>
  <c r="Q391" i="30"/>
  <c r="P391" i="30"/>
  <c r="O391" i="30"/>
  <c r="N391" i="30"/>
  <c r="M391" i="30"/>
  <c r="E340" i="30"/>
  <c r="D340" i="30"/>
  <c r="C340" i="30"/>
  <c r="V332" i="30"/>
  <c r="U332" i="30"/>
  <c r="T332" i="30"/>
  <c r="S332" i="30"/>
  <c r="R332" i="30"/>
  <c r="Q332" i="30"/>
  <c r="P332" i="30"/>
  <c r="O332" i="30"/>
  <c r="N332" i="30"/>
  <c r="M332" i="30"/>
  <c r="C331" i="30"/>
  <c r="C330" i="30"/>
  <c r="C329" i="30"/>
  <c r="C328" i="30"/>
  <c r="C327" i="30"/>
  <c r="C326" i="30"/>
  <c r="C325" i="30"/>
  <c r="C324" i="30"/>
  <c r="C323" i="30"/>
  <c r="V317" i="30"/>
  <c r="U317" i="30"/>
  <c r="T317" i="30"/>
  <c r="S317" i="30"/>
  <c r="R317" i="30"/>
  <c r="Q317" i="30"/>
  <c r="P317" i="30"/>
  <c r="O317" i="30"/>
  <c r="N317" i="30"/>
  <c r="M317" i="30"/>
  <c r="C316" i="30"/>
  <c r="C315" i="30"/>
  <c r="C314" i="30"/>
  <c r="C313" i="30"/>
  <c r="C312" i="30"/>
  <c r="C311" i="30"/>
  <c r="C310" i="30"/>
  <c r="C309" i="30"/>
  <c r="C308" i="30"/>
  <c r="V300" i="30"/>
  <c r="U300" i="30"/>
  <c r="T300" i="30"/>
  <c r="S300" i="30"/>
  <c r="R300" i="30"/>
  <c r="Q300" i="30"/>
  <c r="P300" i="30"/>
  <c r="O300" i="30"/>
  <c r="N300" i="30"/>
  <c r="M300" i="30"/>
  <c r="C299" i="30"/>
  <c r="C298" i="30"/>
  <c r="C297" i="30"/>
  <c r="C296" i="30"/>
  <c r="C295" i="30"/>
  <c r="C294" i="30"/>
  <c r="C293" i="30"/>
  <c r="C292" i="30"/>
  <c r="C291" i="30"/>
  <c r="V285" i="30"/>
  <c r="U285" i="30"/>
  <c r="T285" i="30"/>
  <c r="S285" i="30"/>
  <c r="R285" i="30"/>
  <c r="Q285" i="30"/>
  <c r="P285" i="30"/>
  <c r="O285" i="30"/>
  <c r="N285" i="30"/>
  <c r="M285" i="30"/>
  <c r="C284" i="30"/>
  <c r="C283" i="30"/>
  <c r="C282" i="30"/>
  <c r="C281" i="30"/>
  <c r="C280" i="30"/>
  <c r="C279" i="30"/>
  <c r="C278" i="30"/>
  <c r="C277" i="30"/>
  <c r="C276" i="30"/>
  <c r="V267" i="30"/>
  <c r="V885" i="30" s="1"/>
  <c r="V886" i="30" s="1"/>
  <c r="V891" i="30" s="1"/>
  <c r="V895" i="30" s="1"/>
  <c r="U267" i="30"/>
  <c r="U885" i="30" s="1"/>
  <c r="U886" i="30" s="1"/>
  <c r="U891" i="30" s="1"/>
  <c r="U895" i="30" s="1"/>
  <c r="T267" i="30"/>
  <c r="T885" i="30" s="1"/>
  <c r="T886" i="30" s="1"/>
  <c r="T891" i="30" s="1"/>
  <c r="T895" i="30" s="1"/>
  <c r="S267" i="30"/>
  <c r="S885" i="30" s="1"/>
  <c r="S886" i="30" s="1"/>
  <c r="S891" i="30" s="1"/>
  <c r="S895" i="30" s="1"/>
  <c r="R267" i="30"/>
  <c r="R885" i="30" s="1"/>
  <c r="R886" i="30" s="1"/>
  <c r="R891" i="30" s="1"/>
  <c r="R895" i="30" s="1"/>
  <c r="Q267" i="30"/>
  <c r="Q885" i="30" s="1"/>
  <c r="Q886" i="30" s="1"/>
  <c r="Q891" i="30" s="1"/>
  <c r="Q895" i="30" s="1"/>
  <c r="P267" i="30"/>
  <c r="P885" i="30" s="1"/>
  <c r="P886" i="30" s="1"/>
  <c r="P891" i="30" s="1"/>
  <c r="P895" i="30" s="1"/>
  <c r="O267" i="30"/>
  <c r="O885" i="30" s="1"/>
  <c r="O886" i="30" s="1"/>
  <c r="O891" i="30" s="1"/>
  <c r="O895" i="30" s="1"/>
  <c r="N267" i="30"/>
  <c r="N885" i="30" s="1"/>
  <c r="N886" i="30" s="1"/>
  <c r="N891" i="30" s="1"/>
  <c r="N895" i="30" s="1"/>
  <c r="M267" i="30"/>
  <c r="M885" i="30" s="1"/>
  <c r="M886" i="30" s="1"/>
  <c r="M891" i="30" s="1"/>
  <c r="M895" i="30" s="1"/>
  <c r="V252" i="30"/>
  <c r="V807" i="30" s="1"/>
  <c r="V808" i="30" s="1"/>
  <c r="V813" i="30" s="1"/>
  <c r="V817" i="30" s="1"/>
  <c r="U252" i="30"/>
  <c r="U807" i="30" s="1"/>
  <c r="U808" i="30" s="1"/>
  <c r="U813" i="30" s="1"/>
  <c r="U817" i="30" s="1"/>
  <c r="T252" i="30"/>
  <c r="T807" i="30" s="1"/>
  <c r="T808" i="30" s="1"/>
  <c r="T813" i="30" s="1"/>
  <c r="T817" i="30" s="1"/>
  <c r="S252" i="30"/>
  <c r="S807" i="30" s="1"/>
  <c r="S808" i="30" s="1"/>
  <c r="S813" i="30" s="1"/>
  <c r="S817" i="30" s="1"/>
  <c r="R252" i="30"/>
  <c r="R807" i="30" s="1"/>
  <c r="R808" i="30" s="1"/>
  <c r="R813" i="30" s="1"/>
  <c r="R817" i="30" s="1"/>
  <c r="Q252" i="30"/>
  <c r="P252" i="30"/>
  <c r="O252" i="30"/>
  <c r="N252" i="30"/>
  <c r="M252" i="30"/>
  <c r="M807" i="30" s="1"/>
  <c r="M808" i="30" s="1"/>
  <c r="M813" i="30" s="1"/>
  <c r="M817" i="30" s="1"/>
  <c r="I251" i="30"/>
  <c r="I266" i="30" s="1"/>
  <c r="H251" i="30"/>
  <c r="H266" i="30" s="1"/>
  <c r="G251" i="30"/>
  <c r="G266" i="30" s="1"/>
  <c r="F251" i="30"/>
  <c r="F266" i="30" s="1"/>
  <c r="E251" i="30"/>
  <c r="E266" i="30" s="1"/>
  <c r="D251" i="30"/>
  <c r="D266" i="30" s="1"/>
  <c r="C251" i="30"/>
  <c r="C266" i="30" s="1"/>
  <c r="I250" i="30"/>
  <c r="I265" i="30" s="1"/>
  <c r="H250" i="30"/>
  <c r="H265" i="30" s="1"/>
  <c r="G250" i="30"/>
  <c r="G265" i="30" s="1"/>
  <c r="F250" i="30"/>
  <c r="F265" i="30" s="1"/>
  <c r="E250" i="30"/>
  <c r="E265" i="30" s="1"/>
  <c r="D250" i="30"/>
  <c r="D265" i="30" s="1"/>
  <c r="C250" i="30"/>
  <c r="C265" i="30" s="1"/>
  <c r="I249" i="30"/>
  <c r="I264" i="30" s="1"/>
  <c r="H249" i="30"/>
  <c r="H264" i="30" s="1"/>
  <c r="G249" i="30"/>
  <c r="G264" i="30" s="1"/>
  <c r="F249" i="30"/>
  <c r="F264" i="30" s="1"/>
  <c r="E249" i="30"/>
  <c r="E264" i="30" s="1"/>
  <c r="D249" i="30"/>
  <c r="D264" i="30" s="1"/>
  <c r="C249" i="30"/>
  <c r="C264" i="30" s="1"/>
  <c r="I248" i="30"/>
  <c r="I263" i="30" s="1"/>
  <c r="H248" i="30"/>
  <c r="H263" i="30" s="1"/>
  <c r="G248" i="30"/>
  <c r="G263" i="30" s="1"/>
  <c r="F248" i="30"/>
  <c r="F263" i="30" s="1"/>
  <c r="E248" i="30"/>
  <c r="E263" i="30" s="1"/>
  <c r="D248" i="30"/>
  <c r="D263" i="30" s="1"/>
  <c r="C248" i="30"/>
  <c r="C263" i="30" s="1"/>
  <c r="I247" i="30"/>
  <c r="I262" i="30" s="1"/>
  <c r="H247" i="30"/>
  <c r="H262" i="30" s="1"/>
  <c r="G247" i="30"/>
  <c r="G262" i="30" s="1"/>
  <c r="F247" i="30"/>
  <c r="F262" i="30" s="1"/>
  <c r="E247" i="30"/>
  <c r="E262" i="30" s="1"/>
  <c r="D247" i="30"/>
  <c r="D262" i="30" s="1"/>
  <c r="C247" i="30"/>
  <c r="C262" i="30" s="1"/>
  <c r="I246" i="30"/>
  <c r="I261" i="30" s="1"/>
  <c r="H246" i="30"/>
  <c r="H261" i="30" s="1"/>
  <c r="G246" i="30"/>
  <c r="G261" i="30" s="1"/>
  <c r="F246" i="30"/>
  <c r="F261" i="30" s="1"/>
  <c r="E246" i="30"/>
  <c r="E261" i="30" s="1"/>
  <c r="D246" i="30"/>
  <c r="D261" i="30" s="1"/>
  <c r="C246" i="30"/>
  <c r="C261" i="30" s="1"/>
  <c r="I245" i="30"/>
  <c r="I260" i="30" s="1"/>
  <c r="H245" i="30"/>
  <c r="H260" i="30" s="1"/>
  <c r="G245" i="30"/>
  <c r="G260" i="30" s="1"/>
  <c r="F245" i="30"/>
  <c r="F260" i="30" s="1"/>
  <c r="E245" i="30"/>
  <c r="E260" i="30" s="1"/>
  <c r="D245" i="30"/>
  <c r="D260" i="30" s="1"/>
  <c r="C245" i="30"/>
  <c r="C260" i="30" s="1"/>
  <c r="I244" i="30"/>
  <c r="I259" i="30" s="1"/>
  <c r="H244" i="30"/>
  <c r="H259" i="30" s="1"/>
  <c r="G244" i="30"/>
  <c r="G259" i="30" s="1"/>
  <c r="F244" i="30"/>
  <c r="F259" i="30" s="1"/>
  <c r="E244" i="30"/>
  <c r="E259" i="30" s="1"/>
  <c r="D244" i="30"/>
  <c r="D259" i="30" s="1"/>
  <c r="C244" i="30"/>
  <c r="C259" i="30" s="1"/>
  <c r="I243" i="30"/>
  <c r="I258" i="30" s="1"/>
  <c r="H243" i="30"/>
  <c r="H258" i="30" s="1"/>
  <c r="G243" i="30"/>
  <c r="G258" i="30" s="1"/>
  <c r="F243" i="30"/>
  <c r="F258" i="30" s="1"/>
  <c r="E243" i="30"/>
  <c r="E258" i="30" s="1"/>
  <c r="D243" i="30"/>
  <c r="D258" i="30" s="1"/>
  <c r="C243" i="30"/>
  <c r="C258" i="30" s="1"/>
  <c r="I242" i="30"/>
  <c r="I257" i="30" s="1"/>
  <c r="H242" i="30"/>
  <c r="H257" i="30" s="1"/>
  <c r="G242" i="30"/>
  <c r="G257" i="30" s="1"/>
  <c r="F242" i="30"/>
  <c r="F257" i="30" s="1"/>
  <c r="E242" i="30"/>
  <c r="E257" i="30" s="1"/>
  <c r="D242" i="30"/>
  <c r="D257" i="30" s="1"/>
  <c r="C242" i="30"/>
  <c r="C257" i="30" s="1"/>
  <c r="I241" i="30"/>
  <c r="I256" i="30" s="1"/>
  <c r="H241" i="30"/>
  <c r="H256" i="30" s="1"/>
  <c r="G241" i="30"/>
  <c r="G256" i="30" s="1"/>
  <c r="F241" i="30"/>
  <c r="F256" i="30" s="1"/>
  <c r="E241" i="30"/>
  <c r="E256" i="30" s="1"/>
  <c r="D241" i="30"/>
  <c r="D256" i="30" s="1"/>
  <c r="C241" i="30"/>
  <c r="C256" i="30" s="1"/>
  <c r="V234" i="30"/>
  <c r="V870" i="30" s="1"/>
  <c r="U234" i="30"/>
  <c r="U870" i="30" s="1"/>
  <c r="T234" i="30"/>
  <c r="T870" i="30" s="1"/>
  <c r="S234" i="30"/>
  <c r="S870" i="30" s="1"/>
  <c r="R234" i="30"/>
  <c r="R870" i="30" s="1"/>
  <c r="Q234" i="30"/>
  <c r="Q870" i="30" s="1"/>
  <c r="P234" i="30"/>
  <c r="P870" i="30" s="1"/>
  <c r="O234" i="30"/>
  <c r="O870" i="30" s="1"/>
  <c r="N234" i="30"/>
  <c r="N870" i="30" s="1"/>
  <c r="V778" i="30"/>
  <c r="U778" i="30"/>
  <c r="T778" i="30"/>
  <c r="S778" i="30"/>
  <c r="R778" i="30"/>
  <c r="Q778" i="30"/>
  <c r="P778" i="30"/>
  <c r="O778" i="30"/>
  <c r="N778" i="30"/>
  <c r="M219" i="30"/>
  <c r="I218" i="30"/>
  <c r="I233" i="30" s="1"/>
  <c r="H218" i="30"/>
  <c r="H233" i="30" s="1"/>
  <c r="G218" i="30"/>
  <c r="G233" i="30" s="1"/>
  <c r="F218" i="30"/>
  <c r="F233" i="30" s="1"/>
  <c r="E218" i="30"/>
  <c r="E233" i="30" s="1"/>
  <c r="D218" i="30"/>
  <c r="D233" i="30" s="1"/>
  <c r="C218" i="30"/>
  <c r="C233" i="30" s="1"/>
  <c r="I217" i="30"/>
  <c r="I232" i="30" s="1"/>
  <c r="H217" i="30"/>
  <c r="H232" i="30" s="1"/>
  <c r="G217" i="30"/>
  <c r="G232" i="30" s="1"/>
  <c r="F217" i="30"/>
  <c r="F232" i="30" s="1"/>
  <c r="E217" i="30"/>
  <c r="E232" i="30" s="1"/>
  <c r="D217" i="30"/>
  <c r="D232" i="30" s="1"/>
  <c r="C217" i="30"/>
  <c r="C232" i="30" s="1"/>
  <c r="I216" i="30"/>
  <c r="I231" i="30" s="1"/>
  <c r="H216" i="30"/>
  <c r="H231" i="30" s="1"/>
  <c r="G216" i="30"/>
  <c r="G231" i="30" s="1"/>
  <c r="F216" i="30"/>
  <c r="F231" i="30" s="1"/>
  <c r="E216" i="30"/>
  <c r="E231" i="30" s="1"/>
  <c r="D216" i="30"/>
  <c r="D231" i="30" s="1"/>
  <c r="C216" i="30"/>
  <c r="C231" i="30" s="1"/>
  <c r="I215" i="30"/>
  <c r="I230" i="30" s="1"/>
  <c r="H215" i="30"/>
  <c r="H230" i="30" s="1"/>
  <c r="G215" i="30"/>
  <c r="G230" i="30" s="1"/>
  <c r="F215" i="30"/>
  <c r="F230" i="30" s="1"/>
  <c r="E215" i="30"/>
  <c r="E230" i="30" s="1"/>
  <c r="D215" i="30"/>
  <c r="D230" i="30" s="1"/>
  <c r="C215" i="30"/>
  <c r="C230" i="30" s="1"/>
  <c r="I214" i="30"/>
  <c r="I229" i="30" s="1"/>
  <c r="H214" i="30"/>
  <c r="H229" i="30" s="1"/>
  <c r="G214" i="30"/>
  <c r="G229" i="30" s="1"/>
  <c r="F214" i="30"/>
  <c r="F229" i="30" s="1"/>
  <c r="E214" i="30"/>
  <c r="E229" i="30" s="1"/>
  <c r="D214" i="30"/>
  <c r="D229" i="30" s="1"/>
  <c r="C214" i="30"/>
  <c r="C229" i="30" s="1"/>
  <c r="I213" i="30"/>
  <c r="I228" i="30" s="1"/>
  <c r="H213" i="30"/>
  <c r="H228" i="30" s="1"/>
  <c r="G213" i="30"/>
  <c r="G228" i="30" s="1"/>
  <c r="F213" i="30"/>
  <c r="F228" i="30" s="1"/>
  <c r="E213" i="30"/>
  <c r="E228" i="30" s="1"/>
  <c r="D213" i="30"/>
  <c r="D228" i="30" s="1"/>
  <c r="C213" i="30"/>
  <c r="C228" i="30" s="1"/>
  <c r="I212" i="30"/>
  <c r="I227" i="30" s="1"/>
  <c r="H212" i="30"/>
  <c r="H227" i="30" s="1"/>
  <c r="G212" i="30"/>
  <c r="G227" i="30" s="1"/>
  <c r="F212" i="30"/>
  <c r="F227" i="30" s="1"/>
  <c r="E212" i="30"/>
  <c r="E227" i="30" s="1"/>
  <c r="D212" i="30"/>
  <c r="D227" i="30" s="1"/>
  <c r="C212" i="30"/>
  <c r="C227" i="30" s="1"/>
  <c r="I211" i="30"/>
  <c r="I226" i="30" s="1"/>
  <c r="H211" i="30"/>
  <c r="H226" i="30" s="1"/>
  <c r="G211" i="30"/>
  <c r="G226" i="30" s="1"/>
  <c r="F211" i="30"/>
  <c r="F226" i="30" s="1"/>
  <c r="E211" i="30"/>
  <c r="E226" i="30" s="1"/>
  <c r="D211" i="30"/>
  <c r="D226" i="30" s="1"/>
  <c r="C211" i="30"/>
  <c r="C226" i="30" s="1"/>
  <c r="I210" i="30"/>
  <c r="I225" i="30" s="1"/>
  <c r="H210" i="30"/>
  <c r="H225" i="30" s="1"/>
  <c r="G210" i="30"/>
  <c r="G225" i="30" s="1"/>
  <c r="F210" i="30"/>
  <c r="F225" i="30" s="1"/>
  <c r="E210" i="30"/>
  <c r="E225" i="30" s="1"/>
  <c r="D210" i="30"/>
  <c r="D225" i="30" s="1"/>
  <c r="C210" i="30"/>
  <c r="C225" i="30" s="1"/>
  <c r="I209" i="30"/>
  <c r="I224" i="30" s="1"/>
  <c r="H209" i="30"/>
  <c r="H224" i="30" s="1"/>
  <c r="G209" i="30"/>
  <c r="G224" i="30" s="1"/>
  <c r="F209" i="30"/>
  <c r="F224" i="30" s="1"/>
  <c r="E209" i="30"/>
  <c r="E224" i="30" s="1"/>
  <c r="D209" i="30"/>
  <c r="D224" i="30" s="1"/>
  <c r="C209" i="30"/>
  <c r="C224" i="30" s="1"/>
  <c r="I208" i="30"/>
  <c r="I223" i="30" s="1"/>
  <c r="H208" i="30"/>
  <c r="H223" i="30" s="1"/>
  <c r="G208" i="30"/>
  <c r="G223" i="30" s="1"/>
  <c r="F208" i="30"/>
  <c r="F223" i="30" s="1"/>
  <c r="E208" i="30"/>
  <c r="E223" i="30" s="1"/>
  <c r="D208" i="30"/>
  <c r="D223" i="30" s="1"/>
  <c r="C208" i="30"/>
  <c r="C223" i="30" s="1"/>
  <c r="V201" i="30"/>
  <c r="V869" i="30" s="1"/>
  <c r="U201" i="30"/>
  <c r="U869" i="30" s="1"/>
  <c r="T201" i="30"/>
  <c r="T869" i="30" s="1"/>
  <c r="S201" i="30"/>
  <c r="S869" i="30" s="1"/>
  <c r="R201" i="30"/>
  <c r="R869" i="30" s="1"/>
  <c r="Q201" i="30"/>
  <c r="Q869" i="30" s="1"/>
  <c r="P201" i="30"/>
  <c r="P869" i="30" s="1"/>
  <c r="O201" i="30"/>
  <c r="O869" i="30" s="1"/>
  <c r="N201" i="30"/>
  <c r="N869" i="30" s="1"/>
  <c r="M201" i="30"/>
  <c r="M869" i="30" s="1"/>
  <c r="V180" i="30"/>
  <c r="V777" i="30" s="1"/>
  <c r="U180" i="30"/>
  <c r="U777" i="30" s="1"/>
  <c r="T180" i="30"/>
  <c r="T777" i="30" s="1"/>
  <c r="S180" i="30"/>
  <c r="S777" i="30" s="1"/>
  <c r="R180" i="30"/>
  <c r="R777" i="30" s="1"/>
  <c r="Q180" i="30"/>
  <c r="Q777" i="30" s="1"/>
  <c r="P180" i="30"/>
  <c r="P777" i="30" s="1"/>
  <c r="O180" i="30"/>
  <c r="O777" i="30" s="1"/>
  <c r="N180" i="30"/>
  <c r="N777" i="30" s="1"/>
  <c r="M180" i="30"/>
  <c r="M777" i="30" s="1"/>
  <c r="C165" i="30"/>
  <c r="C186" i="30" s="1"/>
  <c r="I164" i="30"/>
  <c r="I185" i="30" s="1"/>
  <c r="H164" i="30"/>
  <c r="H185" i="30" s="1"/>
  <c r="G164" i="30"/>
  <c r="G185" i="30" s="1"/>
  <c r="F164" i="30"/>
  <c r="F185" i="30" s="1"/>
  <c r="E164" i="30"/>
  <c r="E185" i="30" s="1"/>
  <c r="D164" i="30"/>
  <c r="D185" i="30" s="1"/>
  <c r="C164" i="30"/>
  <c r="C185" i="30" s="1"/>
  <c r="I163" i="30"/>
  <c r="I184" i="30" s="1"/>
  <c r="H163" i="30"/>
  <c r="H184" i="30" s="1"/>
  <c r="G163" i="30"/>
  <c r="G184" i="30" s="1"/>
  <c r="F163" i="30"/>
  <c r="F184" i="30" s="1"/>
  <c r="E163" i="30"/>
  <c r="E184" i="30" s="1"/>
  <c r="D163" i="30"/>
  <c r="D184" i="30" s="1"/>
  <c r="C163" i="30"/>
  <c r="C184" i="30" s="1"/>
  <c r="M157" i="30"/>
  <c r="M868" i="30" s="1"/>
  <c r="M85" i="30"/>
  <c r="M776" i="30" s="1"/>
  <c r="I91" i="30"/>
  <c r="H91" i="30"/>
  <c r="G91" i="30"/>
  <c r="F91" i="30"/>
  <c r="E91" i="30"/>
  <c r="D91" i="30"/>
  <c r="C91" i="30"/>
  <c r="I18" i="30"/>
  <c r="I90" i="30" s="1"/>
  <c r="H18" i="30"/>
  <c r="H90" i="30" s="1"/>
  <c r="G18" i="30"/>
  <c r="G90" i="30" s="1"/>
  <c r="F18" i="30"/>
  <c r="F90" i="30" s="1"/>
  <c r="E18" i="30"/>
  <c r="E90" i="30" s="1"/>
  <c r="D18" i="30"/>
  <c r="D90" i="30" s="1"/>
  <c r="C18" i="30"/>
  <c r="C90" i="30" s="1"/>
  <c r="I17" i="30"/>
  <c r="I89" i="30" s="1"/>
  <c r="H17" i="30"/>
  <c r="H89" i="30" s="1"/>
  <c r="G17" i="30"/>
  <c r="G89" i="30" s="1"/>
  <c r="F17" i="30"/>
  <c r="F89" i="30" s="1"/>
  <c r="E17" i="30"/>
  <c r="E89" i="30" s="1"/>
  <c r="D17" i="30"/>
  <c r="D89" i="30" s="1"/>
  <c r="C17" i="30"/>
  <c r="C89" i="30" s="1"/>
  <c r="H54" i="17"/>
  <c r="G54" i="17"/>
  <c r="F54" i="17"/>
  <c r="E54" i="17"/>
  <c r="D54" i="17"/>
  <c r="B54" i="17"/>
  <c r="H53" i="17"/>
  <c r="G53" i="17"/>
  <c r="F53" i="17"/>
  <c r="E53" i="17"/>
  <c r="D53" i="17"/>
  <c r="B53" i="17"/>
  <c r="H52" i="17"/>
  <c r="G52" i="17"/>
  <c r="F52" i="17"/>
  <c r="E52" i="17"/>
  <c r="D52" i="17"/>
  <c r="B52" i="17"/>
  <c r="H51" i="17"/>
  <c r="G51" i="17"/>
  <c r="F51" i="17"/>
  <c r="E51" i="17"/>
  <c r="D51" i="17"/>
  <c r="B51" i="17"/>
  <c r="H50" i="17"/>
  <c r="G50" i="17"/>
  <c r="F50" i="17"/>
  <c r="E50" i="17"/>
  <c r="D50" i="17"/>
  <c r="B50" i="17"/>
  <c r="H49" i="17"/>
  <c r="G49" i="17"/>
  <c r="F49" i="17"/>
  <c r="E49" i="17"/>
  <c r="D49" i="17"/>
  <c r="B49" i="17"/>
  <c r="B47" i="17"/>
  <c r="H28" i="17"/>
  <c r="G28" i="17"/>
  <c r="F28" i="17"/>
  <c r="E28" i="17"/>
  <c r="D28" i="17"/>
  <c r="B28" i="17"/>
  <c r="H27" i="17"/>
  <c r="G27" i="17"/>
  <c r="F27" i="17"/>
  <c r="E27" i="17"/>
  <c r="D27" i="17"/>
  <c r="B27" i="17"/>
  <c r="H26" i="17"/>
  <c r="G26" i="17"/>
  <c r="F26" i="17"/>
  <c r="E26" i="17"/>
  <c r="D26" i="17"/>
  <c r="B26" i="17"/>
  <c r="H25" i="17"/>
  <c r="G25" i="17"/>
  <c r="F25" i="17"/>
  <c r="E25" i="17"/>
  <c r="D25" i="17"/>
  <c r="B25" i="17"/>
  <c r="H24" i="17"/>
  <c r="G24" i="17"/>
  <c r="F24" i="17"/>
  <c r="E24" i="17"/>
  <c r="D24" i="17"/>
  <c r="B24" i="17"/>
  <c r="H23" i="17"/>
  <c r="G23" i="17"/>
  <c r="F23" i="17"/>
  <c r="E23" i="17"/>
  <c r="D23" i="17"/>
  <c r="B23" i="17"/>
  <c r="H22" i="17"/>
  <c r="G22" i="17"/>
  <c r="F22" i="17"/>
  <c r="E22" i="17"/>
  <c r="D22" i="17"/>
  <c r="H21" i="17"/>
  <c r="G21" i="17"/>
  <c r="F21" i="17"/>
  <c r="E21" i="17"/>
  <c r="D21" i="17"/>
  <c r="H20" i="17"/>
  <c r="G20" i="17"/>
  <c r="F20" i="17"/>
  <c r="E20" i="17"/>
  <c r="D20" i="17"/>
  <c r="H19" i="17"/>
  <c r="G19" i="17"/>
  <c r="F19" i="17"/>
  <c r="E19" i="17"/>
  <c r="D19" i="17"/>
  <c r="B19" i="17"/>
  <c r="H18" i="17"/>
  <c r="G18" i="17"/>
  <c r="F18" i="17"/>
  <c r="E18" i="17"/>
  <c r="D18" i="17"/>
  <c r="B18" i="17"/>
  <c r="H17" i="17"/>
  <c r="G17" i="17"/>
  <c r="F17" i="17"/>
  <c r="E17" i="17"/>
  <c r="D17" i="17"/>
  <c r="B17" i="17"/>
  <c r="H16" i="17"/>
  <c r="G16" i="17"/>
  <c r="F16" i="17"/>
  <c r="E16" i="17"/>
  <c r="D16" i="17"/>
  <c r="B16" i="17"/>
  <c r="H15" i="17"/>
  <c r="G15" i="17"/>
  <c r="F15" i="17"/>
  <c r="E15" i="17"/>
  <c r="D15" i="17"/>
  <c r="B15" i="17"/>
  <c r="H14" i="17"/>
  <c r="G14" i="17"/>
  <c r="F14" i="17"/>
  <c r="E14" i="17"/>
  <c r="D14" i="17"/>
  <c r="B14" i="17"/>
  <c r="H13" i="17"/>
  <c r="G13" i="17"/>
  <c r="F13" i="17"/>
  <c r="E13" i="17"/>
  <c r="D13" i="17"/>
  <c r="B13" i="17"/>
  <c r="H12" i="17"/>
  <c r="G12" i="17"/>
  <c r="F12" i="17"/>
  <c r="E12" i="17"/>
  <c r="D12" i="17"/>
  <c r="B12" i="17"/>
  <c r="B9" i="17"/>
  <c r="I6" i="17"/>
  <c r="I5" i="17" s="1"/>
  <c r="I6" i="5"/>
  <c r="I5" i="5" s="1"/>
  <c r="H49" i="2"/>
  <c r="G49" i="2"/>
  <c r="F49" i="2"/>
  <c r="E49" i="2"/>
  <c r="D49" i="2"/>
  <c r="J48" i="2"/>
  <c r="J47" i="2"/>
  <c r="H15" i="2"/>
  <c r="G15" i="2"/>
  <c r="F15" i="2"/>
  <c r="E15" i="2"/>
  <c r="J14" i="2"/>
  <c r="J13" i="2"/>
  <c r="I6" i="2"/>
  <c r="I5" i="2" s="1"/>
  <c r="I52" i="4"/>
  <c r="H52" i="4"/>
  <c r="G52" i="4"/>
  <c r="F52" i="4"/>
  <c r="E52" i="4"/>
  <c r="I36" i="4"/>
  <c r="H36" i="4"/>
  <c r="G36" i="4"/>
  <c r="F36" i="4"/>
  <c r="E36" i="4"/>
  <c r="B59" i="1"/>
  <c r="B56" i="1"/>
  <c r="B55" i="1"/>
  <c r="B40" i="1"/>
  <c r="B39" i="1"/>
  <c r="B32" i="1"/>
  <c r="B31" i="1"/>
  <c r="B29" i="1"/>
  <c r="B28" i="1"/>
  <c r="B13" i="1"/>
  <c r="B12" i="1"/>
  <c r="J6" i="1"/>
  <c r="G126" i="28"/>
  <c r="G125" i="28"/>
  <c r="G124" i="28"/>
  <c r="G123" i="28"/>
  <c r="D6" i="17"/>
  <c r="D5" i="17" s="1"/>
  <c r="M9" i="30"/>
  <c r="M8" i="30" s="1"/>
  <c r="D6" i="19"/>
  <c r="T9" i="31"/>
  <c r="T8" i="31" s="1"/>
  <c r="D6" i="2"/>
  <c r="D6" i="11"/>
  <c r="D5" i="11" s="1"/>
  <c r="D6" i="27"/>
  <c r="D5" i="27" s="1"/>
  <c r="E6" i="10"/>
  <c r="E5" i="10" s="1"/>
  <c r="D5" i="19"/>
  <c r="E6" i="19"/>
  <c r="E5" i="19" s="1"/>
  <c r="E6" i="27"/>
  <c r="F6" i="27" s="1"/>
  <c r="B21" i="1"/>
  <c r="F6" i="19"/>
  <c r="F5" i="19" s="1"/>
  <c r="F20" i="4"/>
  <c r="G20" i="4"/>
  <c r="H20" i="4"/>
  <c r="I20" i="4"/>
  <c r="H68" i="4" l="1"/>
  <c r="H74" i="4"/>
  <c r="F74" i="4"/>
  <c r="F78" i="4" s="1"/>
  <c r="F68" i="4"/>
  <c r="G74" i="4"/>
  <c r="G78" i="4" s="1"/>
  <c r="G68" i="4"/>
  <c r="G77" i="4" s="1"/>
  <c r="G89" i="4" s="1"/>
  <c r="I68" i="4"/>
  <c r="I77" i="4" s="1"/>
  <c r="I89" i="4" s="1"/>
  <c r="I74" i="4"/>
  <c r="I78" i="4" s="1"/>
  <c r="P807" i="30"/>
  <c r="P808" i="30" s="1"/>
  <c r="P813" i="30" s="1"/>
  <c r="P817" i="30" s="1"/>
  <c r="M778" i="30"/>
  <c r="N807" i="30"/>
  <c r="N808" i="30" s="1"/>
  <c r="N813" i="30" s="1"/>
  <c r="N817" i="30" s="1"/>
  <c r="Q807" i="30"/>
  <c r="Q808" i="30" s="1"/>
  <c r="Q813" i="30" s="1"/>
  <c r="Q817" i="30" s="1"/>
  <c r="O807" i="30"/>
  <c r="O808" i="30" s="1"/>
  <c r="O813" i="30" s="1"/>
  <c r="O817" i="30" s="1"/>
  <c r="D5" i="2"/>
  <c r="I27" i="2"/>
  <c r="I26" i="2"/>
  <c r="I25" i="2"/>
  <c r="I28" i="2"/>
  <c r="I24" i="2"/>
  <c r="G47" i="17"/>
  <c r="G56" i="17" s="1"/>
  <c r="U9" i="31"/>
  <c r="V9" i="31" s="1"/>
  <c r="T529" i="31"/>
  <c r="T549" i="31" s="1"/>
  <c r="T566" i="31" s="1"/>
  <c r="M859" i="30" s="1"/>
  <c r="G9" i="27"/>
  <c r="D24" i="27"/>
  <c r="D43" i="27" s="1"/>
  <c r="D45" i="27" s="1"/>
  <c r="H9" i="27"/>
  <c r="F9" i="27"/>
  <c r="T871" i="30"/>
  <c r="S871" i="30"/>
  <c r="N871" i="30"/>
  <c r="V871" i="30"/>
  <c r="Q871" i="30"/>
  <c r="F47" i="17"/>
  <c r="F56" i="17" s="1"/>
  <c r="M779" i="30"/>
  <c r="R779" i="30"/>
  <c r="P871" i="30"/>
  <c r="R871" i="30"/>
  <c r="T779" i="30"/>
  <c r="N779" i="30"/>
  <c r="V779" i="30"/>
  <c r="P779" i="30"/>
  <c r="Q779" i="30"/>
  <c r="M871" i="30"/>
  <c r="M873" i="30" s="1"/>
  <c r="M878" i="30" s="1"/>
  <c r="M894" i="30" s="1"/>
  <c r="M896" i="30" s="1"/>
  <c r="U871" i="30"/>
  <c r="O871" i="30"/>
  <c r="S779" i="30"/>
  <c r="O779" i="30"/>
  <c r="U779" i="30"/>
  <c r="X785" i="30"/>
  <c r="X801" i="30" s="1"/>
  <c r="X816" i="30" s="1"/>
  <c r="X818" i="30" s="1"/>
  <c r="N852" i="30"/>
  <c r="H47" i="17"/>
  <c r="H56" i="17" s="1"/>
  <c r="D47" i="17"/>
  <c r="D56" i="17" s="1"/>
  <c r="N9" i="30"/>
  <c r="N8" i="30" s="1"/>
  <c r="J51" i="17"/>
  <c r="J50" i="17"/>
  <c r="J52" i="17"/>
  <c r="J54" i="17"/>
  <c r="J49" i="17"/>
  <c r="J53" i="17"/>
  <c r="G67" i="35"/>
  <c r="G25" i="35"/>
  <c r="G17" i="35"/>
  <c r="G66" i="35"/>
  <c r="G16" i="35"/>
  <c r="G91" i="35"/>
  <c r="G56" i="35"/>
  <c r="G19" i="35"/>
  <c r="G87" i="35"/>
  <c r="G65" i="35"/>
  <c r="G88" i="35"/>
  <c r="G26" i="35"/>
  <c r="G90" i="35"/>
  <c r="G18" i="35"/>
  <c r="G89" i="35"/>
  <c r="G20" i="35"/>
  <c r="C99" i="35"/>
  <c r="E191" i="28"/>
  <c r="J54" i="28"/>
  <c r="J73" i="28" s="1"/>
  <c r="I79" i="28"/>
  <c r="Q54" i="28"/>
  <c r="P79" i="28"/>
  <c r="E19" i="2"/>
  <c r="C9" i="28"/>
  <c r="C35" i="2" s="1"/>
  <c r="I62" i="2"/>
  <c r="I64" i="2"/>
  <c r="I63" i="2"/>
  <c r="I33" i="2"/>
  <c r="I34" i="2"/>
  <c r="I35" i="2"/>
  <c r="E78" i="4"/>
  <c r="H78" i="4"/>
  <c r="E5" i="27"/>
  <c r="E30" i="10"/>
  <c r="D26" i="28"/>
  <c r="D28" i="28"/>
  <c r="E6" i="5"/>
  <c r="D5" i="5"/>
  <c r="D90" i="2"/>
  <c r="I90" i="2" s="1"/>
  <c r="D91" i="2"/>
  <c r="G90" i="2"/>
  <c r="G91" i="2"/>
  <c r="E91" i="2"/>
  <c r="E90" i="2"/>
  <c r="H91" i="2"/>
  <c r="H90" i="2"/>
  <c r="F90" i="2"/>
  <c r="F91" i="2"/>
  <c r="D66" i="2"/>
  <c r="I66" i="2" s="1"/>
  <c r="I67" i="2"/>
  <c r="G66" i="2"/>
  <c r="E66" i="2"/>
  <c r="H66" i="2"/>
  <c r="F66" i="2"/>
  <c r="E28" i="28"/>
  <c r="F6" i="4"/>
  <c r="F62" i="4" s="1"/>
  <c r="H128" i="2"/>
  <c r="H158" i="2" s="1"/>
  <c r="H192" i="2" s="1"/>
  <c r="F82" i="2"/>
  <c r="F128" i="2"/>
  <c r="E128" i="2"/>
  <c r="E56" i="17"/>
  <c r="E4" i="29"/>
  <c r="G46" i="11"/>
  <c r="G65" i="11" s="1"/>
  <c r="D46" i="11"/>
  <c r="D65" i="11" s="1"/>
  <c r="F46" i="11"/>
  <c r="F65" i="11" s="1"/>
  <c r="E46" i="11"/>
  <c r="E65" i="11" s="1"/>
  <c r="H46" i="11"/>
  <c r="H65" i="11" s="1"/>
  <c r="B20" i="1"/>
  <c r="I86" i="2"/>
  <c r="I87" i="2"/>
  <c r="I88" i="2"/>
  <c r="I59" i="2"/>
  <c r="I58" i="2"/>
  <c r="I57" i="2"/>
  <c r="H20" i="2"/>
  <c r="I23" i="2"/>
  <c r="J49" i="2"/>
  <c r="F19" i="2"/>
  <c r="H83" i="2"/>
  <c r="G83" i="2"/>
  <c r="E83" i="2"/>
  <c r="J15" i="2"/>
  <c r="J78" i="2"/>
  <c r="D128" i="2"/>
  <c r="G20" i="2"/>
  <c r="E20" i="2"/>
  <c r="G128" i="2"/>
  <c r="F83" i="2"/>
  <c r="H54" i="2"/>
  <c r="H71" i="2" s="1"/>
  <c r="F54" i="2"/>
  <c r="F6" i="29"/>
  <c r="F5" i="29" s="1"/>
  <c r="D54" i="2"/>
  <c r="D53" i="2"/>
  <c r="D82" i="2"/>
  <c r="F6" i="10"/>
  <c r="G6" i="10" s="1"/>
  <c r="H6" i="10" s="1"/>
  <c r="F5" i="27"/>
  <c r="G6" i="27"/>
  <c r="E6" i="17"/>
  <c r="E6" i="2"/>
  <c r="E6" i="11"/>
  <c r="E51" i="19"/>
  <c r="G6" i="19"/>
  <c r="V8" i="31"/>
  <c r="W9" i="31"/>
  <c r="U8" i="31"/>
  <c r="E24" i="28"/>
  <c r="E62" i="4"/>
  <c r="E5" i="4"/>
  <c r="G52" i="19"/>
  <c r="F25" i="28"/>
  <c r="F6" i="5"/>
  <c r="E109" i="2"/>
  <c r="E108" i="2" s="1"/>
  <c r="E162" i="2" s="1"/>
  <c r="H43" i="29"/>
  <c r="G82" i="2"/>
  <c r="D59" i="27"/>
  <c r="F59" i="27"/>
  <c r="F43" i="29"/>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4" i="4"/>
  <c r="H56" i="4" s="1"/>
  <c r="F54" i="4"/>
  <c r="F56" i="4" s="1"/>
  <c r="I54" i="4"/>
  <c r="I56" i="4" s="1"/>
  <c r="G54" i="4"/>
  <c r="G56" i="4" s="1"/>
  <c r="E54" i="4"/>
  <c r="E56" i="4" s="1"/>
  <c r="B48" i="1"/>
  <c r="G19" i="2"/>
  <c r="H82" i="2"/>
  <c r="E123" i="28"/>
  <c r="F123" i="28" s="1"/>
  <c r="E127" i="28"/>
  <c r="F127" i="28" s="1"/>
  <c r="D20" i="2"/>
  <c r="H19" i="2"/>
  <c r="E82" i="2"/>
  <c r="D83" i="2"/>
  <c r="H53" i="2"/>
  <c r="D63" i="17"/>
  <c r="D19" i="2"/>
  <c r="G63" i="17"/>
  <c r="I36" i="10"/>
  <c r="H36" i="10"/>
  <c r="F53" i="2"/>
  <c r="E126" i="28"/>
  <c r="F126" i="28" s="1"/>
  <c r="E190" i="28"/>
  <c r="E187" i="28"/>
  <c r="E63" i="17"/>
  <c r="F36" i="10"/>
  <c r="F20" i="2"/>
  <c r="G54" i="2"/>
  <c r="G71" i="2" s="1"/>
  <c r="G53" i="2"/>
  <c r="F26" i="28"/>
  <c r="I26" i="28"/>
  <c r="E184" i="28"/>
  <c r="B120" i="28"/>
  <c r="E26" i="28"/>
  <c r="E183" i="28"/>
  <c r="K26" i="28"/>
  <c r="G26" i="28"/>
  <c r="E189" i="28"/>
  <c r="E129" i="28"/>
  <c r="F129" i="28" s="1"/>
  <c r="J26" i="28"/>
  <c r="E128" i="28"/>
  <c r="F128" i="28" s="1"/>
  <c r="E186" i="28"/>
  <c r="E188" i="28"/>
  <c r="E124" i="28"/>
  <c r="F124" i="28" s="1"/>
  <c r="E125" i="28"/>
  <c r="F125" i="28" s="1"/>
  <c r="E185" i="28"/>
  <c r="E54" i="2"/>
  <c r="E53" i="2"/>
  <c r="G43" i="29"/>
  <c r="D66" i="27"/>
  <c r="E36" i="10"/>
  <c r="G59" i="27"/>
  <c r="E59" i="27"/>
  <c r="G66" i="27"/>
  <c r="E66" i="27"/>
  <c r="F66" i="27"/>
  <c r="B3" i="30"/>
  <c r="H59" i="27"/>
  <c r="I43" i="29"/>
  <c r="H66" i="27"/>
  <c r="E43" i="29"/>
  <c r="F63" i="17"/>
  <c r="M785" i="30" l="1"/>
  <c r="M801" i="30" s="1"/>
  <c r="M816" i="30" s="1"/>
  <c r="M818" i="30" s="1"/>
  <c r="D9" i="17" s="1"/>
  <c r="E92" i="4" s="1"/>
  <c r="E102" i="4" s="1"/>
  <c r="D158" i="2"/>
  <c r="D192" i="2" s="1"/>
  <c r="D49" i="27"/>
  <c r="E48" i="27" s="1"/>
  <c r="D194" i="2"/>
  <c r="D161" i="2"/>
  <c r="D162" i="2" s="1"/>
  <c r="D46" i="27"/>
  <c r="J47" i="17"/>
  <c r="O9" i="30"/>
  <c r="H98" i="35"/>
  <c r="H99" i="35" s="1"/>
  <c r="I98" i="35"/>
  <c r="I99" i="35" s="1"/>
  <c r="B186" i="28"/>
  <c r="B187" i="28"/>
  <c r="B188" i="28"/>
  <c r="B189" i="28"/>
  <c r="B190" i="28"/>
  <c r="B184" i="28"/>
  <c r="B185" i="28"/>
  <c r="B191" i="28"/>
  <c r="B66" i="5" s="1"/>
  <c r="J75" i="28"/>
  <c r="J60" i="28"/>
  <c r="J83" i="28"/>
  <c r="J62" i="28"/>
  <c r="J64" i="28"/>
  <c r="J57" i="28"/>
  <c r="J72" i="28"/>
  <c r="C83" i="1"/>
  <c r="C102" i="2"/>
  <c r="C81" i="1"/>
  <c r="J80" i="28"/>
  <c r="G34" i="10" s="1"/>
  <c r="J59" i="28"/>
  <c r="J68" i="28"/>
  <c r="J56" i="28"/>
  <c r="J70" i="28"/>
  <c r="J58" i="28"/>
  <c r="J67" i="28"/>
  <c r="J65" i="28"/>
  <c r="J63" i="28"/>
  <c r="C62" i="27"/>
  <c r="D65" i="29"/>
  <c r="D67" i="29"/>
  <c r="C23" i="19"/>
  <c r="C71" i="17"/>
  <c r="C94" i="2"/>
  <c r="C62" i="5"/>
  <c r="C12" i="5"/>
  <c r="C15" i="2"/>
  <c r="D20" i="10"/>
  <c r="C103" i="2"/>
  <c r="C44" i="17"/>
  <c r="C19" i="2"/>
  <c r="C20" i="5"/>
  <c r="C82" i="2"/>
  <c r="C87" i="17"/>
  <c r="C14" i="5"/>
  <c r="C96" i="2"/>
  <c r="C87" i="1"/>
  <c r="C83" i="17"/>
  <c r="D43" i="10"/>
  <c r="C48" i="2"/>
  <c r="C16" i="5"/>
  <c r="C67" i="5"/>
  <c r="C72" i="2"/>
  <c r="C63" i="27"/>
  <c r="D62" i="29"/>
  <c r="D12" i="10"/>
  <c r="D68" i="29"/>
  <c r="C64" i="5"/>
  <c r="C80" i="1"/>
  <c r="C70" i="17"/>
  <c r="C82" i="1"/>
  <c r="C14" i="2"/>
  <c r="C85" i="1"/>
  <c r="D19" i="10"/>
  <c r="C43" i="2"/>
  <c r="D40" i="10"/>
  <c r="D41" i="10"/>
  <c r="D60" i="29"/>
  <c r="D39" i="10"/>
  <c r="D44" i="10"/>
  <c r="C52" i="5"/>
  <c r="C70" i="1"/>
  <c r="D38" i="29"/>
  <c r="C79" i="1"/>
  <c r="C75" i="1"/>
  <c r="C54" i="2"/>
  <c r="C78" i="2"/>
  <c r="C66" i="1"/>
  <c r="C21" i="19"/>
  <c r="D21" i="10"/>
  <c r="C84" i="1"/>
  <c r="C88" i="2"/>
  <c r="C49" i="2"/>
  <c r="C65" i="5"/>
  <c r="D45" i="10"/>
  <c r="C76" i="2"/>
  <c r="D18" i="10"/>
  <c r="C77" i="2"/>
  <c r="C64" i="27"/>
  <c r="C91" i="1"/>
  <c r="C20" i="2"/>
  <c r="C18" i="19"/>
  <c r="D23" i="10"/>
  <c r="C85" i="17"/>
  <c r="C57" i="2"/>
  <c r="C15" i="5"/>
  <c r="C66" i="5"/>
  <c r="C77" i="1"/>
  <c r="C69" i="1"/>
  <c r="C90" i="1"/>
  <c r="C59" i="2"/>
  <c r="C17" i="5"/>
  <c r="C77" i="17"/>
  <c r="C74" i="1"/>
  <c r="C57" i="17"/>
  <c r="C41" i="5"/>
  <c r="D58" i="29"/>
  <c r="C67" i="1"/>
  <c r="D22" i="10"/>
  <c r="C88" i="1"/>
  <c r="D24" i="10"/>
  <c r="C68" i="1"/>
  <c r="C83" i="2"/>
  <c r="C53" i="2"/>
  <c r="C47" i="2"/>
  <c r="C87" i="2"/>
  <c r="B63" i="1"/>
  <c r="C73" i="1"/>
  <c r="C65" i="1"/>
  <c r="C18" i="5"/>
  <c r="D17" i="10"/>
  <c r="D15" i="10"/>
  <c r="D54" i="29"/>
  <c r="C86" i="1"/>
  <c r="D50" i="29"/>
  <c r="C72" i="1"/>
  <c r="D16" i="10"/>
  <c r="C101" i="2"/>
  <c r="C63" i="5"/>
  <c r="C13" i="2"/>
  <c r="C78" i="1"/>
  <c r="C22" i="19"/>
  <c r="C71" i="1"/>
  <c r="C54" i="19"/>
  <c r="R54" i="28"/>
  <c r="Q79" i="28"/>
  <c r="K54" i="28"/>
  <c r="K77" i="28" s="1"/>
  <c r="J79" i="28"/>
  <c r="C58" i="2"/>
  <c r="C53" i="5"/>
  <c r="C42" i="2"/>
  <c r="C37" i="5"/>
  <c r="C70" i="2"/>
  <c r="C45" i="5"/>
  <c r="C30" i="2"/>
  <c r="C19" i="5"/>
  <c r="C38" i="5"/>
  <c r="C86" i="2"/>
  <c r="C48" i="5"/>
  <c r="C71" i="2"/>
  <c r="C39" i="5"/>
  <c r="C95" i="2"/>
  <c r="C41" i="2"/>
  <c r="C76" i="1"/>
  <c r="C54" i="5"/>
  <c r="C40" i="5"/>
  <c r="C63" i="2"/>
  <c r="C33" i="2"/>
  <c r="C34" i="2"/>
  <c r="C51" i="5"/>
  <c r="C46" i="5"/>
  <c r="C55" i="5"/>
  <c r="C64" i="2"/>
  <c r="C62" i="2"/>
  <c r="C44" i="5"/>
  <c r="C47" i="5"/>
  <c r="E161" i="2"/>
  <c r="H75" i="4"/>
  <c r="E75" i="4"/>
  <c r="F75" i="4"/>
  <c r="I75" i="4"/>
  <c r="H95" i="2"/>
  <c r="H77" i="4"/>
  <c r="H89" i="4" s="1"/>
  <c r="G75" i="4"/>
  <c r="F77" i="4"/>
  <c r="F89" i="4" s="1"/>
  <c r="J56" i="17"/>
  <c r="C6" i="28"/>
  <c r="E95" i="2"/>
  <c r="E98" i="35"/>
  <c r="E99" i="35" s="1"/>
  <c r="D98" i="35"/>
  <c r="D99" i="35" s="1"/>
  <c r="F5" i="4"/>
  <c r="G6" i="4"/>
  <c r="G5" i="4" s="1"/>
  <c r="E71" i="2"/>
  <c r="F95" i="2"/>
  <c r="G95" i="2"/>
  <c r="E76" i="1"/>
  <c r="D76" i="1"/>
  <c r="G6" i="1"/>
  <c r="H6" i="1" s="1"/>
  <c r="H5" i="1" s="1"/>
  <c r="E5" i="1"/>
  <c r="E5" i="5"/>
  <c r="E74" i="1"/>
  <c r="D95" i="2"/>
  <c r="I95" i="2" s="1"/>
  <c r="D94" i="2"/>
  <c r="I94" i="2" s="1"/>
  <c r="E94" i="2"/>
  <c r="F94" i="2"/>
  <c r="G94" i="2"/>
  <c r="H94" i="2"/>
  <c r="J91" i="2"/>
  <c r="F71" i="2"/>
  <c r="J90" i="2"/>
  <c r="F70" i="2"/>
  <c r="E70" i="2"/>
  <c r="H70" i="2"/>
  <c r="G70" i="2"/>
  <c r="G72" i="2" s="1"/>
  <c r="D71" i="2"/>
  <c r="J67" i="2"/>
  <c r="D70" i="2"/>
  <c r="J66" i="2"/>
  <c r="F28" i="28"/>
  <c r="F27" i="28"/>
  <c r="G158" i="2"/>
  <c r="G192" i="2" s="1"/>
  <c r="F158" i="2"/>
  <c r="F192" i="2" s="1"/>
  <c r="E158" i="2"/>
  <c r="E192" i="2" s="1"/>
  <c r="G6" i="29"/>
  <c r="G5" i="29" s="1"/>
  <c r="F4" i="29"/>
  <c r="F5" i="10"/>
  <c r="F27" i="10" s="1"/>
  <c r="G5" i="10"/>
  <c r="G27" i="10" s="1"/>
  <c r="E5" i="2"/>
  <c r="F6" i="2"/>
  <c r="E5" i="17"/>
  <c r="F6" i="17"/>
  <c r="G5" i="27"/>
  <c r="H6" i="27"/>
  <c r="H5" i="27" s="1"/>
  <c r="E5" i="11"/>
  <c r="F6" i="11"/>
  <c r="G6" i="5"/>
  <c r="G5" i="19"/>
  <c r="H6" i="19"/>
  <c r="H5" i="19" s="1"/>
  <c r="F109" i="2"/>
  <c r="F24" i="28"/>
  <c r="G25" i="28"/>
  <c r="F5" i="5"/>
  <c r="H52" i="19"/>
  <c r="H51" i="19" s="1"/>
  <c r="G51" i="19"/>
  <c r="H5" i="10"/>
  <c r="H27" i="10" s="1"/>
  <c r="I6" i="10"/>
  <c r="E34" i="10"/>
  <c r="E35" i="10"/>
  <c r="W8" i="31"/>
  <c r="X9" i="31"/>
  <c r="J82" i="2"/>
  <c r="J19" i="2"/>
  <c r="F35" i="10"/>
  <c r="I46" i="28"/>
  <c r="J46" i="28" s="1"/>
  <c r="K56" i="28"/>
  <c r="B125" i="28"/>
  <c r="B15" i="5" s="1"/>
  <c r="B69" i="1" s="1"/>
  <c r="B128" i="28"/>
  <c r="B18" i="5" s="1"/>
  <c r="B72" i="1" s="1"/>
  <c r="B126" i="28"/>
  <c r="B16" i="5" s="1"/>
  <c r="B70" i="1" s="1"/>
  <c r="B127" i="28"/>
  <c r="B17" i="5" s="1"/>
  <c r="B71" i="1" s="1"/>
  <c r="B129" i="28"/>
  <c r="B19" i="5" s="1"/>
  <c r="B73" i="1" s="1"/>
  <c r="B124" i="28"/>
  <c r="B14" i="5" s="1"/>
  <c r="B68" i="1" s="1"/>
  <c r="J83" i="2"/>
  <c r="J20" i="2"/>
  <c r="H15" i="4"/>
  <c r="H18" i="4" s="1"/>
  <c r="D75" i="1"/>
  <c r="D74" i="1"/>
  <c r="E15" i="4"/>
  <c r="E18" i="4" s="1"/>
  <c r="E20" i="4" s="1"/>
  <c r="B130" i="28"/>
  <c r="J54" i="2"/>
  <c r="G15" i="4"/>
  <c r="G18" i="4" s="1"/>
  <c r="F36" i="29"/>
  <c r="F15" i="4"/>
  <c r="F18" i="4" s="1"/>
  <c r="E18" i="19"/>
  <c r="E42" i="17"/>
  <c r="E54" i="19"/>
  <c r="E82" i="1" s="1"/>
  <c r="J53" i="2"/>
  <c r="I15" i="4"/>
  <c r="I18" i="4" s="1"/>
  <c r="D55" i="27" l="1"/>
  <c r="D29" i="17"/>
  <c r="D31" i="17" s="1"/>
  <c r="M825" i="30"/>
  <c r="M843" i="30" s="1"/>
  <c r="M860" i="30" s="1"/>
  <c r="G5" i="1"/>
  <c r="O8" i="30"/>
  <c r="P9" i="30"/>
  <c r="K99" i="35"/>
  <c r="H6" i="4"/>
  <c r="H5" i="4" s="1"/>
  <c r="G62" i="4"/>
  <c r="K65" i="28"/>
  <c r="F34" i="10" s="1"/>
  <c r="F37"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F161" i="2"/>
  <c r="H96" i="2"/>
  <c r="E96" i="2"/>
  <c r="F96" i="2"/>
  <c r="G96" i="2"/>
  <c r="B63" i="5"/>
  <c r="B78" i="1" s="1"/>
  <c r="B62" i="5"/>
  <c r="B77" i="1" s="1"/>
  <c r="B81" i="1"/>
  <c r="B65" i="5"/>
  <c r="B80" i="1" s="1"/>
  <c r="B64" i="5"/>
  <c r="B79" i="1" s="1"/>
  <c r="J95" i="2"/>
  <c r="D96" i="2"/>
  <c r="I96" i="2" s="1"/>
  <c r="F76" i="1"/>
  <c r="I70" i="2"/>
  <c r="B19" i="1"/>
  <c r="B46" i="1"/>
  <c r="J71" i="2"/>
  <c r="I71" i="2"/>
  <c r="D72" i="2"/>
  <c r="G28" i="28"/>
  <c r="G27" i="28"/>
  <c r="F90" i="4"/>
  <c r="I5" i="10"/>
  <c r="I27" i="10" s="1"/>
  <c r="J70" i="2"/>
  <c r="F72" i="2"/>
  <c r="E72" i="2"/>
  <c r="H72" i="2"/>
  <c r="G5" i="5"/>
  <c r="J94" i="2"/>
  <c r="G4" i="29"/>
  <c r="H6" i="29"/>
  <c r="H5" i="29" s="1"/>
  <c r="G36" i="29"/>
  <c r="F5" i="2"/>
  <c r="G6" i="2"/>
  <c r="F5" i="17"/>
  <c r="G6" i="17"/>
  <c r="J71" i="1"/>
  <c r="F5" i="11"/>
  <c r="G6" i="11"/>
  <c r="J72" i="1"/>
  <c r="H6" i="5"/>
  <c r="G109" i="2"/>
  <c r="F108" i="2"/>
  <c r="F162" i="2" s="1"/>
  <c r="F74" i="1"/>
  <c r="E194" i="2"/>
  <c r="G24" i="28"/>
  <c r="H25" i="28"/>
  <c r="F18" i="19"/>
  <c r="F42" i="17"/>
  <c r="F57" i="17" s="1"/>
  <c r="F54" i="19"/>
  <c r="F82" i="1" s="1"/>
  <c r="Y9" i="31"/>
  <c r="X8" i="31"/>
  <c r="B42" i="1"/>
  <c r="B16" i="1"/>
  <c r="E57" i="17"/>
  <c r="E93" i="4" l="1"/>
  <c r="E94" i="4" s="1"/>
  <c r="H62" i="4"/>
  <c r="I6" i="4"/>
  <c r="I5" i="4" s="1"/>
  <c r="P8" i="30"/>
  <c r="Q9" i="30"/>
  <c r="H34"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5" i="10" s="1"/>
  <c r="G37"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G161" i="2"/>
  <c r="B26" i="1"/>
  <c r="B53" i="1"/>
  <c r="B23" i="1"/>
  <c r="B50" i="1"/>
  <c r="B24" i="1"/>
  <c r="B51" i="1"/>
  <c r="B27" i="1"/>
  <c r="B54" i="1"/>
  <c r="B52" i="1"/>
  <c r="B25" i="1"/>
  <c r="I62" i="4"/>
  <c r="J96" i="2"/>
  <c r="G76" i="1"/>
  <c r="J72" i="2"/>
  <c r="I72" i="2"/>
  <c r="H28" i="28"/>
  <c r="H27" i="28"/>
  <c r="G90" i="4"/>
  <c r="I6" i="29"/>
  <c r="I5" i="29" s="1"/>
  <c r="H4" i="29"/>
  <c r="H5" i="5"/>
  <c r="G18" i="19"/>
  <c r="H6" i="17"/>
  <c r="G5" i="17"/>
  <c r="I54" i="17"/>
  <c r="G74" i="1"/>
  <c r="G5" i="2"/>
  <c r="H6" i="2"/>
  <c r="I77" i="2" s="1"/>
  <c r="H6" i="11"/>
  <c r="H5" i="11" s="1"/>
  <c r="G5" i="11"/>
  <c r="I56" i="17"/>
  <c r="G108" i="2"/>
  <c r="G162" i="2" s="1"/>
  <c r="H109" i="2"/>
  <c r="H36" i="29"/>
  <c r="F194" i="2"/>
  <c r="Z9" i="31"/>
  <c r="Y8" i="31"/>
  <c r="I25" i="28"/>
  <c r="G42" i="17"/>
  <c r="G57" i="17" s="1"/>
  <c r="H24" i="28"/>
  <c r="G54" i="19"/>
  <c r="G82" i="1" s="1"/>
  <c r="B43" i="1"/>
  <c r="B15" i="1"/>
  <c r="J69" i="1"/>
  <c r="J81" i="1"/>
  <c r="J78" i="1"/>
  <c r="F31" i="29"/>
  <c r="B44" i="1"/>
  <c r="B17" i="1"/>
  <c r="B45" i="1"/>
  <c r="B18" i="1"/>
  <c r="J74" i="1"/>
  <c r="K75" i="1"/>
  <c r="J75" i="1"/>
  <c r="B41" i="1"/>
  <c r="B14" i="1"/>
  <c r="J70" i="1"/>
  <c r="J73" i="1"/>
  <c r="Q8" i="30" l="1"/>
  <c r="R9" i="30"/>
  <c r="I34" i="10"/>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5" i="10" s="1"/>
  <c r="H37" i="10" s="1"/>
  <c r="T61" i="28"/>
  <c r="T57" i="28"/>
  <c r="T64" i="28"/>
  <c r="T67" i="28"/>
  <c r="H76" i="1"/>
  <c r="I28" i="28"/>
  <c r="I27" i="28"/>
  <c r="H90" i="4"/>
  <c r="H42" i="17"/>
  <c r="H57" i="17" s="1"/>
  <c r="I4" i="29"/>
  <c r="K78" i="1"/>
  <c r="I36" i="29"/>
  <c r="I54" i="2"/>
  <c r="H5" i="2"/>
  <c r="I48" i="2"/>
  <c r="I82" i="2"/>
  <c r="I14" i="2"/>
  <c r="I20" i="2"/>
  <c r="I13" i="2"/>
  <c r="I47" i="2"/>
  <c r="I76" i="2"/>
  <c r="I78" i="2" s="1"/>
  <c r="I19" i="2"/>
  <c r="H5" i="17"/>
  <c r="I50" i="17"/>
  <c r="I48" i="17"/>
  <c r="I49" i="17"/>
  <c r="I47" i="17"/>
  <c r="I51" i="17"/>
  <c r="I52" i="17"/>
  <c r="I53" i="17"/>
  <c r="I53" i="2"/>
  <c r="I83" i="2"/>
  <c r="H108" i="2"/>
  <c r="H162" i="2" s="1"/>
  <c r="G194" i="2"/>
  <c r="Z8" i="31"/>
  <c r="AA9" i="31"/>
  <c r="I24" i="28"/>
  <c r="J25" i="28"/>
  <c r="H18" i="19"/>
  <c r="H54" i="19"/>
  <c r="H82" i="1" s="1"/>
  <c r="H74" i="1"/>
  <c r="E31" i="29"/>
  <c r="J79" i="1"/>
  <c r="J80" i="1"/>
  <c r="R8" i="30" l="1"/>
  <c r="S9" i="30"/>
  <c r="U63" i="28"/>
  <c r="U57" i="28"/>
  <c r="U66" i="28"/>
  <c r="U67" i="28"/>
  <c r="U68" i="28"/>
  <c r="U64" i="28"/>
  <c r="U61" i="28"/>
  <c r="U59" i="28"/>
  <c r="U55" i="28"/>
  <c r="U62" i="28"/>
  <c r="U56" i="28"/>
  <c r="U65" i="28"/>
  <c r="I35" i="10" s="1"/>
  <c r="U60" i="28"/>
  <c r="U58" i="28"/>
  <c r="N56" i="28"/>
  <c r="N65" i="28"/>
  <c r="N66" i="28"/>
  <c r="N67" i="28"/>
  <c r="N68" i="28"/>
  <c r="N57" i="28"/>
  <c r="N64" i="28"/>
  <c r="N55" i="28"/>
  <c r="N60" i="28"/>
  <c r="N62" i="28"/>
  <c r="N63" i="28"/>
  <c r="N59" i="28"/>
  <c r="N61" i="28"/>
  <c r="N58" i="28"/>
  <c r="D54" i="19"/>
  <c r="D82" i="1" s="1"/>
  <c r="J28" i="28"/>
  <c r="J27" i="28"/>
  <c r="I90" i="4"/>
  <c r="H31" i="29"/>
  <c r="I15" i="2"/>
  <c r="I49" i="2"/>
  <c r="J24" i="28"/>
  <c r="K25" i="28"/>
  <c r="H194" i="2"/>
  <c r="AB9" i="31"/>
  <c r="AA8" i="31"/>
  <c r="G31" i="29"/>
  <c r="J77" i="1"/>
  <c r="J67" i="1"/>
  <c r="J68" i="1"/>
  <c r="K69" i="1"/>
  <c r="S8" i="30" l="1"/>
  <c r="T9" i="30"/>
  <c r="I37" i="10"/>
  <c r="D42" i="17"/>
  <c r="D57" i="17" s="1"/>
  <c r="J57" i="17" s="1"/>
  <c r="H161" i="2"/>
  <c r="K82" i="1"/>
  <c r="D18" i="19"/>
  <c r="J82" i="1"/>
  <c r="D38" i="17"/>
  <c r="D40" i="17" s="1"/>
  <c r="E36" i="29"/>
  <c r="I31" i="29"/>
  <c r="K28" i="28"/>
  <c r="K27" i="28"/>
  <c r="K81" i="1"/>
  <c r="AB8" i="31"/>
  <c r="AC9" i="31"/>
  <c r="AC8" i="31" s="1"/>
  <c r="K24" i="28"/>
  <c r="K80" i="1"/>
  <c r="K79" i="1"/>
  <c r="K73" i="1"/>
  <c r="K72" i="1"/>
  <c r="K70" i="1"/>
  <c r="K71" i="1"/>
  <c r="D44" i="17" l="1"/>
  <c r="T8" i="30"/>
  <c r="U9" i="30"/>
  <c r="I57" i="17"/>
  <c r="D66" i="17"/>
  <c r="K67" i="1"/>
  <c r="K74" i="1"/>
  <c r="K77" i="1"/>
  <c r="K68" i="1"/>
  <c r="U8" i="30" l="1"/>
  <c r="V9" i="30"/>
  <c r="V8" i="30" s="1"/>
  <c r="I44" i="17"/>
  <c r="D34" i="17" l="1"/>
  <c r="E30" i="2" l="1"/>
  <c r="G30" i="2" l="1"/>
  <c r="H30" i="2"/>
  <c r="F30" i="2"/>
  <c r="E38" i="2"/>
  <c r="E42" i="2" s="1"/>
  <c r="E102" i="2" s="1"/>
  <c r="E66" i="1" s="1"/>
  <c r="E37" i="2"/>
  <c r="E41" i="2" s="1"/>
  <c r="E34" i="29" l="1"/>
  <c r="F38" i="2"/>
  <c r="F42" i="2" s="1"/>
  <c r="F102" i="2" s="1"/>
  <c r="F66" i="1" s="1"/>
  <c r="F37" i="2"/>
  <c r="F41" i="2" s="1"/>
  <c r="H37" i="2"/>
  <c r="H41" i="2" s="1"/>
  <c r="H38" i="2"/>
  <c r="H42" i="2" s="1"/>
  <c r="H102" i="2" s="1"/>
  <c r="H66" i="1" s="1"/>
  <c r="G38" i="2"/>
  <c r="G42" i="2" s="1"/>
  <c r="G102" i="2" s="1"/>
  <c r="G66" i="1" s="1"/>
  <c r="G37" i="2"/>
  <c r="G41" i="2" s="1"/>
  <c r="J29" i="2"/>
  <c r="I29" i="2"/>
  <c r="D30" i="2"/>
  <c r="E101" i="2"/>
  <c r="E103" i="2" s="1"/>
  <c r="E43" i="2"/>
  <c r="E99" i="4" l="1"/>
  <c r="E100" i="4" s="1"/>
  <c r="E38" i="29"/>
  <c r="E58" i="29" s="1"/>
  <c r="E46" i="29"/>
  <c r="G43" i="2"/>
  <c r="G101" i="2"/>
  <c r="G103" i="2" s="1"/>
  <c r="H43" i="2"/>
  <c r="H101" i="2"/>
  <c r="H103" i="2" s="1"/>
  <c r="F43" i="2"/>
  <c r="F101" i="2"/>
  <c r="F103" i="2" s="1"/>
  <c r="D38" i="2"/>
  <c r="D37" i="2"/>
  <c r="I30" i="2"/>
  <c r="J30" i="2"/>
  <c r="D41" i="2" l="1"/>
  <c r="J37" i="2"/>
  <c r="I37" i="2"/>
  <c r="D42" i="2"/>
  <c r="I38" i="2"/>
  <c r="J38" i="2"/>
  <c r="D102" i="2" l="1"/>
  <c r="I42" i="2"/>
  <c r="J42" i="2"/>
  <c r="I41" i="2"/>
  <c r="J41" i="2"/>
  <c r="D101" i="2"/>
  <c r="D43" i="2"/>
  <c r="J43" i="2" l="1"/>
  <c r="I43" i="2"/>
  <c r="D103" i="2"/>
  <c r="I101" i="2"/>
  <c r="J101" i="2"/>
  <c r="D66" i="1"/>
  <c r="J102" i="2"/>
  <c r="I102" i="2"/>
  <c r="J66" i="1" l="1"/>
  <c r="K66" i="1"/>
  <c r="J103" i="2"/>
  <c r="I103" i="2"/>
  <c r="E85" i="4" l="1"/>
  <c r="E87" i="4" s="1"/>
  <c r="E90" i="4" l="1"/>
  <c r="E103" i="4" s="1"/>
  <c r="E104" i="4" s="1"/>
  <c r="E17" i="10" l="1"/>
  <c r="F20" i="10" l="1"/>
  <c r="H20" i="10" l="1"/>
  <c r="G20" i="10"/>
  <c r="I20" i="10"/>
  <c r="E20" i="10" l="1"/>
  <c r="E23" i="10"/>
  <c r="E24" i="10" s="1"/>
  <c r="I23" i="10" l="1"/>
  <c r="I26" i="10"/>
  <c r="G23" i="10"/>
  <c r="G26" i="10"/>
  <c r="F23" i="10"/>
  <c r="F26" i="10"/>
  <c r="F15" i="10"/>
  <c r="F17" i="10" s="1"/>
  <c r="F24" i="10" s="1"/>
  <c r="E41" i="10"/>
  <c r="E32" i="10"/>
  <c r="H23" i="10"/>
  <c r="H26" i="10"/>
  <c r="E26" i="10"/>
  <c r="E27" i="10" s="1"/>
  <c r="G15" i="10" l="1"/>
  <c r="G17" i="10" s="1"/>
  <c r="G24" i="10" s="1"/>
  <c r="F41" i="10"/>
  <c r="F32" i="10"/>
  <c r="E57" i="27" s="1"/>
  <c r="E39" i="10"/>
  <c r="E43" i="10" s="1"/>
  <c r="E40" i="10"/>
  <c r="D64" i="27"/>
  <c r="D57" i="27"/>
  <c r="E44" i="10" l="1"/>
  <c r="D65" i="1" s="1"/>
  <c r="D90" i="1"/>
  <c r="D77" i="17"/>
  <c r="D83" i="17" s="1"/>
  <c r="E64" i="29" s="1"/>
  <c r="F40" i="10"/>
  <c r="E64" i="27"/>
  <c r="F39" i="10"/>
  <c r="F43" i="10" s="1"/>
  <c r="D56" i="27"/>
  <c r="D58" i="27"/>
  <c r="H15" i="10"/>
  <c r="H17" i="10" s="1"/>
  <c r="H24" i="10" s="1"/>
  <c r="G41" i="10"/>
  <c r="G32" i="10"/>
  <c r="F57" i="27" s="1"/>
  <c r="E45" i="10" l="1"/>
  <c r="I15" i="10"/>
  <c r="I17" i="10" s="1"/>
  <c r="I24" i="10" s="1"/>
  <c r="H32" i="10"/>
  <c r="G57" i="27" s="1"/>
  <c r="H41" i="10"/>
  <c r="D60" i="27"/>
  <c r="E44" i="29"/>
  <c r="J24" i="1"/>
  <c r="J28" i="1"/>
  <c r="J25" i="1"/>
  <c r="J23" i="1"/>
  <c r="J22" i="1"/>
  <c r="J26" i="1"/>
  <c r="J27" i="1"/>
  <c r="D23" i="1"/>
  <c r="J15" i="1"/>
  <c r="J19" i="1"/>
  <c r="D27" i="1"/>
  <c r="D22" i="1"/>
  <c r="J16" i="1"/>
  <c r="J20" i="1"/>
  <c r="D28" i="1"/>
  <c r="D15" i="1"/>
  <c r="J18" i="1"/>
  <c r="J21" i="1"/>
  <c r="J14" i="1"/>
  <c r="D20" i="1"/>
  <c r="J17" i="1"/>
  <c r="D13" i="1"/>
  <c r="D18" i="1"/>
  <c r="D17" i="1"/>
  <c r="D21" i="1"/>
  <c r="D26" i="1"/>
  <c r="J13" i="1"/>
  <c r="D19" i="1"/>
  <c r="D16" i="1"/>
  <c r="J12" i="1"/>
  <c r="D12" i="1"/>
  <c r="D24" i="1"/>
  <c r="D25" i="1"/>
  <c r="D14" i="1"/>
  <c r="J11" i="1"/>
  <c r="D11" i="1"/>
  <c r="D83" i="1"/>
  <c r="J65" i="1"/>
  <c r="J83" i="1" s="1"/>
  <c r="G40" i="10"/>
  <c r="G39" i="10"/>
  <c r="G43" i="10" s="1"/>
  <c r="F64" i="27"/>
  <c r="E77" i="17"/>
  <c r="D63" i="27"/>
  <c r="D91" i="1" s="1"/>
  <c r="D38" i="1" s="1"/>
  <c r="E90" i="1"/>
  <c r="F44" i="10"/>
  <c r="E65" i="1" s="1"/>
  <c r="D62" i="27"/>
  <c r="D65" i="27" s="1"/>
  <c r="F45" i="10" l="1"/>
  <c r="F34" i="29"/>
  <c r="I83" i="17"/>
  <c r="E11" i="1"/>
  <c r="E83" i="1"/>
  <c r="F77" i="17"/>
  <c r="D29" i="1"/>
  <c r="H39" i="10"/>
  <c r="H43" i="10" s="1"/>
  <c r="H40" i="10"/>
  <c r="G64" i="27"/>
  <c r="J29" i="1"/>
  <c r="D64" i="17"/>
  <c r="D67" i="17" s="1"/>
  <c r="D67" i="27"/>
  <c r="E17" i="1"/>
  <c r="E22" i="1"/>
  <c r="E24" i="1"/>
  <c r="E25" i="1"/>
  <c r="E14" i="1"/>
  <c r="E18" i="1"/>
  <c r="E20" i="1"/>
  <c r="E28" i="1"/>
  <c r="E16" i="1"/>
  <c r="E21" i="1"/>
  <c r="E12" i="1"/>
  <c r="E26" i="1"/>
  <c r="E19" i="1"/>
  <c r="E13" i="1"/>
  <c r="E15" i="1"/>
  <c r="E23" i="1"/>
  <c r="E27" i="1"/>
  <c r="F90" i="1"/>
  <c r="G44" i="10"/>
  <c r="F65" i="1" s="1"/>
  <c r="J38" i="1"/>
  <c r="J49" i="1"/>
  <c r="J50" i="1"/>
  <c r="J54" i="1"/>
  <c r="J55" i="1"/>
  <c r="J51" i="1"/>
  <c r="J53" i="1"/>
  <c r="J52" i="1"/>
  <c r="D49" i="1"/>
  <c r="J44" i="1"/>
  <c r="D48" i="1"/>
  <c r="D41" i="1"/>
  <c r="D46" i="1"/>
  <c r="D47" i="1"/>
  <c r="D42" i="1"/>
  <c r="D50" i="1"/>
  <c r="D51" i="1"/>
  <c r="J47" i="1"/>
  <c r="J41" i="1"/>
  <c r="J43" i="1"/>
  <c r="D45" i="1"/>
  <c r="D44" i="1"/>
  <c r="J46" i="1"/>
  <c r="D53" i="1"/>
  <c r="D54" i="1"/>
  <c r="D55" i="1"/>
  <c r="D40" i="1"/>
  <c r="J45" i="1"/>
  <c r="J48" i="1"/>
  <c r="J40" i="1"/>
  <c r="D52" i="1"/>
  <c r="J39" i="1"/>
  <c r="J42" i="1"/>
  <c r="D43" i="1"/>
  <c r="D39" i="1"/>
  <c r="I41" i="10"/>
  <c r="I32" i="10"/>
  <c r="H57" i="27" s="1"/>
  <c r="F38" i="29" l="1"/>
  <c r="F58" i="29" s="1"/>
  <c r="F99" i="4"/>
  <c r="F100" i="4" s="1"/>
  <c r="F46" i="29"/>
  <c r="D56" i="1"/>
  <c r="J56" i="1"/>
  <c r="F24" i="1"/>
  <c r="F13" i="1"/>
  <c r="F20" i="1"/>
  <c r="F21" i="1"/>
  <c r="F12" i="1"/>
  <c r="F18" i="1"/>
  <c r="F16" i="1"/>
  <c r="F19" i="1"/>
  <c r="F15" i="1"/>
  <c r="F14" i="1"/>
  <c r="F27" i="1"/>
  <c r="F23" i="1"/>
  <c r="F28" i="1"/>
  <c r="F17" i="1"/>
  <c r="F22" i="1"/>
  <c r="F26" i="1"/>
  <c r="F25" i="1"/>
  <c r="G90" i="1"/>
  <c r="H44" i="10"/>
  <c r="G65" i="1" s="1"/>
  <c r="G77" i="17"/>
  <c r="G45" i="10"/>
  <c r="D68" i="17"/>
  <c r="D70" i="17" s="1"/>
  <c r="D71" i="17"/>
  <c r="I71" i="17" s="1"/>
  <c r="I39" i="10"/>
  <c r="I43" i="10" s="1"/>
  <c r="I40" i="10"/>
  <c r="H64" i="27"/>
  <c r="F83" i="1"/>
  <c r="F11" i="1"/>
  <c r="E65" i="29"/>
  <c r="E29" i="1"/>
  <c r="H45" i="10" l="1"/>
  <c r="F29" i="1"/>
  <c r="I44" i="10"/>
  <c r="H65" i="1" s="1"/>
  <c r="H90" i="1"/>
  <c r="K18" i="1" s="1"/>
  <c r="K25" i="1"/>
  <c r="I70" i="17"/>
  <c r="D85" i="17"/>
  <c r="E66" i="29" s="1"/>
  <c r="H77" i="17"/>
  <c r="G11" i="1"/>
  <c r="G83" i="1"/>
  <c r="G25" i="1"/>
  <c r="G21" i="1"/>
  <c r="G14" i="1"/>
  <c r="G12" i="1"/>
  <c r="G13" i="1"/>
  <c r="G26" i="1"/>
  <c r="G20" i="1"/>
  <c r="G27" i="1"/>
  <c r="G19" i="1"/>
  <c r="G16" i="1"/>
  <c r="G18" i="1"/>
  <c r="G17" i="1"/>
  <c r="G23" i="1"/>
  <c r="G22" i="1"/>
  <c r="G15" i="1"/>
  <c r="G28" i="1"/>
  <c r="G24" i="1"/>
  <c r="K28" i="1"/>
  <c r="K27" i="1" l="1"/>
  <c r="K16" i="1"/>
  <c r="I45" i="10"/>
  <c r="H14" i="1"/>
  <c r="H19" i="1"/>
  <c r="H18" i="1"/>
  <c r="H16" i="1"/>
  <c r="H12" i="1"/>
  <c r="H20" i="1"/>
  <c r="H21" i="1"/>
  <c r="H25" i="1"/>
  <c r="H26" i="1"/>
  <c r="H15" i="1"/>
  <c r="H17" i="1"/>
  <c r="H22" i="1"/>
  <c r="H13" i="1"/>
  <c r="H23" i="1"/>
  <c r="H24" i="1"/>
  <c r="H27" i="1"/>
  <c r="H28" i="1"/>
  <c r="K22" i="1"/>
  <c r="K17" i="1"/>
  <c r="K23" i="1"/>
  <c r="K21" i="1"/>
  <c r="K24" i="1"/>
  <c r="K15" i="1"/>
  <c r="K13" i="1"/>
  <c r="K26" i="1"/>
  <c r="K12" i="1"/>
  <c r="K20" i="1"/>
  <c r="G29" i="1"/>
  <c r="I85" i="17"/>
  <c r="D87" i="17"/>
  <c r="I87" i="17" s="1"/>
  <c r="H83" i="1"/>
  <c r="H11" i="1"/>
  <c r="K65" i="1"/>
  <c r="K83" i="1" s="1"/>
  <c r="K11" i="1"/>
  <c r="K14" i="1"/>
  <c r="K19" i="1"/>
  <c r="H29" i="1" l="1"/>
  <c r="K29" i="1"/>
  <c r="E67" i="29"/>
  <c r="E47" i="29"/>
  <c r="E48" i="29" s="1"/>
  <c r="E50" i="29" s="1"/>
  <c r="E60" i="29" s="1"/>
  <c r="E62" i="29" s="1"/>
  <c r="D86" i="1" l="1"/>
  <c r="E68" i="29"/>
  <c r="D85" i="1" s="1"/>
  <c r="J85" i="1" s="1"/>
  <c r="D84" i="1"/>
  <c r="D87" i="1" l="1"/>
  <c r="D58" i="1" s="1"/>
  <c r="J30" i="1"/>
  <c r="J84" i="1"/>
  <c r="D30" i="1"/>
  <c r="D57" i="1"/>
  <c r="J57" i="1"/>
  <c r="D31" i="1"/>
  <c r="J31" i="1"/>
  <c r="J86" i="1"/>
  <c r="J87" i="1" l="1"/>
  <c r="J88" i="1" s="1"/>
  <c r="D88" i="1"/>
  <c r="J58" i="1"/>
  <c r="J59" i="1" s="1"/>
  <c r="D59" i="1"/>
  <c r="D32" i="1"/>
  <c r="J32" i="1"/>
  <c r="N157" i="30" l="1"/>
  <c r="N868" i="30" s="1"/>
  <c r="N873" i="30" s="1"/>
  <c r="N878" i="30" s="1"/>
  <c r="N894" i="30" s="1"/>
  <c r="N896" i="30" s="1"/>
  <c r="U436" i="31"/>
  <c r="E19" i="27" s="1"/>
  <c r="O157" i="30" l="1"/>
  <c r="O868" i="30" s="1"/>
  <c r="O873" i="30" s="1"/>
  <c r="O878" i="30" s="1"/>
  <c r="O894" i="30" s="1"/>
  <c r="O896" i="30" s="1"/>
  <c r="V113" i="31"/>
  <c r="U113" i="31"/>
  <c r="V436" i="31"/>
  <c r="F19" i="27" s="1"/>
  <c r="P157" i="30" l="1"/>
  <c r="P868" i="30" s="1"/>
  <c r="P873" i="30" s="1"/>
  <c r="P878" i="30" s="1"/>
  <c r="P894" i="30" s="1"/>
  <c r="P896" i="30" s="1"/>
  <c r="U529" i="31"/>
  <c r="U549" i="31" s="1"/>
  <c r="E12" i="27"/>
  <c r="E24" i="27" s="1"/>
  <c r="W113" i="31"/>
  <c r="N85" i="30"/>
  <c r="N776" i="30" s="1"/>
  <c r="N785" i="30" s="1"/>
  <c r="N801" i="30" s="1"/>
  <c r="N816" i="30" s="1"/>
  <c r="N818" i="30" s="1"/>
  <c r="V529" i="31"/>
  <c r="V549" i="31" s="1"/>
  <c r="F12" i="27"/>
  <c r="F24" i="27" s="1"/>
  <c r="W436" i="31"/>
  <c r="G19" i="27" s="1"/>
  <c r="X113" i="31" l="1"/>
  <c r="H12" i="27" s="1"/>
  <c r="O85" i="30"/>
  <c r="O776" i="30" s="1"/>
  <c r="O785" i="30" s="1"/>
  <c r="O801" i="30" s="1"/>
  <c r="O816" i="30" s="1"/>
  <c r="O818" i="30" s="1"/>
  <c r="N825" i="30"/>
  <c r="N843" i="30" s="1"/>
  <c r="N860" i="30" s="1"/>
  <c r="E9" i="17"/>
  <c r="Q157" i="30"/>
  <c r="Q868" i="30" s="1"/>
  <c r="Q873" i="30" s="1"/>
  <c r="Q878" i="30" s="1"/>
  <c r="Q894" i="30" s="1"/>
  <c r="Q896" i="30" s="1"/>
  <c r="G12" i="27"/>
  <c r="G24" i="27" s="1"/>
  <c r="W529" i="31"/>
  <c r="W549" i="31" s="1"/>
  <c r="X436" i="31"/>
  <c r="H19" i="27" s="1"/>
  <c r="P85" i="30" l="1"/>
  <c r="P776" i="30" s="1"/>
  <c r="P785" i="30" s="1"/>
  <c r="P801" i="30" s="1"/>
  <c r="P816" i="30" s="1"/>
  <c r="P818" i="30" s="1"/>
  <c r="G9" i="17" s="1"/>
  <c r="X529" i="31"/>
  <c r="X549" i="31" s="1"/>
  <c r="F92" i="4"/>
  <c r="E29" i="17"/>
  <c r="R157" i="30"/>
  <c r="R868" i="30" s="1"/>
  <c r="R873" i="30" s="1"/>
  <c r="R878" i="30" s="1"/>
  <c r="R894" i="30" s="1"/>
  <c r="R896" i="30" s="1"/>
  <c r="F9" i="17"/>
  <c r="O825" i="30"/>
  <c r="O843" i="30" s="1"/>
  <c r="O860" i="30" s="1"/>
  <c r="Y113" i="31"/>
  <c r="H24" i="27"/>
  <c r="Y436" i="31"/>
  <c r="P825" i="30" l="1"/>
  <c r="P843" i="30" s="1"/>
  <c r="P860" i="30" s="1"/>
  <c r="Y529" i="31"/>
  <c r="Y549" i="31" s="1"/>
  <c r="Z113" i="31"/>
  <c r="Q85" i="30"/>
  <c r="Q776" i="30" s="1"/>
  <c r="Q785" i="30" s="1"/>
  <c r="Q801" i="30" s="1"/>
  <c r="Q816" i="30" s="1"/>
  <c r="Q818" i="30" s="1"/>
  <c r="H9" i="17" s="1"/>
  <c r="F102" i="4"/>
  <c r="S157" i="30"/>
  <c r="S868" i="30" s="1"/>
  <c r="S873" i="30" s="1"/>
  <c r="S878" i="30" s="1"/>
  <c r="S894" i="30" s="1"/>
  <c r="S896" i="30" s="1"/>
  <c r="G29" i="17"/>
  <c r="H92" i="4"/>
  <c r="E31" i="17"/>
  <c r="E34" i="17" s="1"/>
  <c r="F93" i="4"/>
  <c r="F103" i="4" s="1"/>
  <c r="E33" i="27"/>
  <c r="E43" i="27" s="1"/>
  <c r="U566" i="31"/>
  <c r="N859" i="30" s="1"/>
  <c r="G92" i="4"/>
  <c r="F29" i="17"/>
  <c r="Z436" i="31"/>
  <c r="G34" i="29" l="1"/>
  <c r="Z529" i="31"/>
  <c r="Z549" i="31" s="1"/>
  <c r="Q825" i="30"/>
  <c r="Q843" i="30" s="1"/>
  <c r="Q860" i="30" s="1"/>
  <c r="R85" i="30"/>
  <c r="R776" i="30" s="1"/>
  <c r="R785" i="30" s="1"/>
  <c r="R801" i="30" s="1"/>
  <c r="R816" i="30" s="1"/>
  <c r="R818" i="30" s="1"/>
  <c r="R825" i="30" s="1"/>
  <c r="R843" i="30" s="1"/>
  <c r="R860" i="30" s="1"/>
  <c r="H93" i="4"/>
  <c r="G31" i="17"/>
  <c r="G34" i="17" s="1"/>
  <c r="G102" i="4"/>
  <c r="T157" i="30"/>
  <c r="T868" i="30" s="1"/>
  <c r="T873" i="30" s="1"/>
  <c r="T878" i="30" s="1"/>
  <c r="T894" i="30" s="1"/>
  <c r="T896" i="30" s="1"/>
  <c r="E45" i="27"/>
  <c r="E49" i="27" s="1"/>
  <c r="E46" i="27"/>
  <c r="F94" i="4"/>
  <c r="F104" i="4"/>
  <c r="F33" i="27"/>
  <c r="F43" i="27" s="1"/>
  <c r="V566" i="31"/>
  <c r="O859" i="30" s="1"/>
  <c r="F31" i="17"/>
  <c r="F34" i="17" s="1"/>
  <c r="G93" i="4"/>
  <c r="AA113" i="31"/>
  <c r="H102" i="4"/>
  <c r="I92" i="4"/>
  <c r="H29" i="17"/>
  <c r="AA436" i="31"/>
  <c r="G38" i="29" l="1"/>
  <c r="G58" i="29" s="1"/>
  <c r="G99" i="4"/>
  <c r="G100" i="4" s="1"/>
  <c r="G46" i="29"/>
  <c r="S85" i="30"/>
  <c r="S776" i="30" s="1"/>
  <c r="S785" i="30" s="1"/>
  <c r="S801" i="30" s="1"/>
  <c r="S816" i="30" s="1"/>
  <c r="S818" i="30" s="1"/>
  <c r="S825" i="30" s="1"/>
  <c r="S843" i="30" s="1"/>
  <c r="S860" i="30" s="1"/>
  <c r="H94" i="4"/>
  <c r="AA529" i="31"/>
  <c r="AA549" i="31" s="1"/>
  <c r="F48" i="27"/>
  <c r="E55" i="27"/>
  <c r="G94" i="4"/>
  <c r="U157" i="30"/>
  <c r="U868" i="30" s="1"/>
  <c r="U873" i="30" s="1"/>
  <c r="U878" i="30" s="1"/>
  <c r="U894" i="30" s="1"/>
  <c r="U896" i="30" s="1"/>
  <c r="H31" i="17"/>
  <c r="H34" i="17" s="1"/>
  <c r="I93" i="4"/>
  <c r="F45" i="27"/>
  <c r="F49" i="27" s="1"/>
  <c r="G48" i="27" s="1"/>
  <c r="F46" i="27"/>
  <c r="G33" i="27"/>
  <c r="G43" i="27" s="1"/>
  <c r="W566" i="31"/>
  <c r="P859" i="30" s="1"/>
  <c r="AB113" i="31"/>
  <c r="I102" i="4"/>
  <c r="AB436" i="31"/>
  <c r="Y566" i="31"/>
  <c r="R859" i="30" s="1"/>
  <c r="G103" i="4" l="1"/>
  <c r="G104" i="4" s="1"/>
  <c r="T85" i="30"/>
  <c r="T776" i="30" s="1"/>
  <c r="T785" i="30" s="1"/>
  <c r="T801" i="30" s="1"/>
  <c r="T816" i="30" s="1"/>
  <c r="T818" i="30" s="1"/>
  <c r="T825" i="30" s="1"/>
  <c r="T843" i="30" s="1"/>
  <c r="T860" i="30" s="1"/>
  <c r="I94" i="4"/>
  <c r="AC113" i="31"/>
  <c r="AB529" i="31"/>
  <c r="AB549" i="31" s="1"/>
  <c r="H33" i="27"/>
  <c r="H43" i="27" s="1"/>
  <c r="X566" i="31"/>
  <c r="Q859" i="30" s="1"/>
  <c r="V157" i="30"/>
  <c r="V868" i="30" s="1"/>
  <c r="V873" i="30" s="1"/>
  <c r="V878" i="30" s="1"/>
  <c r="V894" i="30" s="1"/>
  <c r="V896" i="30" s="1"/>
  <c r="G46" i="27"/>
  <c r="G45" i="27"/>
  <c r="G49" i="27" s="1"/>
  <c r="H48" i="27" s="1"/>
  <c r="E38" i="17"/>
  <c r="E40" i="17" s="1"/>
  <c r="E58" i="27"/>
  <c r="E56" i="27"/>
  <c r="F55" i="27"/>
  <c r="AC436" i="31"/>
  <c r="Z566" i="31"/>
  <c r="S859" i="30" s="1"/>
  <c r="AC529" i="31" l="1"/>
  <c r="AC549" i="31" s="1"/>
  <c r="F44" i="29"/>
  <c r="E62" i="27"/>
  <c r="E65" i="27" s="1"/>
  <c r="E63" i="27"/>
  <c r="E91" i="1" s="1"/>
  <c r="E60" i="27"/>
  <c r="V85" i="30"/>
  <c r="V776" i="30" s="1"/>
  <c r="V785" i="30" s="1"/>
  <c r="V801" i="30" s="1"/>
  <c r="V816" i="30" s="1"/>
  <c r="V818" i="30" s="1"/>
  <c r="V825" i="30" s="1"/>
  <c r="V843" i="30" s="1"/>
  <c r="V860" i="30" s="1"/>
  <c r="E66" i="17"/>
  <c r="E44" i="17"/>
  <c r="F38" i="17"/>
  <c r="F40" i="17" s="1"/>
  <c r="F58" i="27"/>
  <c r="F56" i="27"/>
  <c r="U85" i="30"/>
  <c r="U776" i="30" s="1"/>
  <c r="U785" i="30" s="1"/>
  <c r="U801" i="30" s="1"/>
  <c r="U816" i="30" s="1"/>
  <c r="U818" i="30" s="1"/>
  <c r="U825" i="30" s="1"/>
  <c r="U843" i="30" s="1"/>
  <c r="U860" i="30" s="1"/>
  <c r="G55" i="27"/>
  <c r="H46" i="27"/>
  <c r="H45" i="27"/>
  <c r="H49" i="27" s="1"/>
  <c r="H55" i="27" s="1"/>
  <c r="AA566" i="31"/>
  <c r="T859" i="30" s="1"/>
  <c r="F44" i="17" l="1"/>
  <c r="F83" i="17" s="1"/>
  <c r="G64" i="29" s="1"/>
  <c r="G65" i="29" s="1"/>
  <c r="F66" i="17"/>
  <c r="H38" i="17"/>
  <c r="H40" i="17" s="1"/>
  <c r="H58" i="27"/>
  <c r="H56" i="27"/>
  <c r="E83" i="17"/>
  <c r="F64" i="29" s="1"/>
  <c r="F65" i="29" s="1"/>
  <c r="G56" i="27"/>
  <c r="G38" i="17"/>
  <c r="G40" i="17" s="1"/>
  <c r="G58" i="27"/>
  <c r="E48" i="1"/>
  <c r="E41" i="1"/>
  <c r="E50" i="1"/>
  <c r="E38" i="1"/>
  <c r="E47" i="1"/>
  <c r="E49" i="1"/>
  <c r="E39" i="1"/>
  <c r="E42" i="1"/>
  <c r="E43" i="1"/>
  <c r="E54" i="1"/>
  <c r="E46" i="1"/>
  <c r="E51" i="1"/>
  <c r="E55" i="1"/>
  <c r="E53" i="1"/>
  <c r="E40" i="1"/>
  <c r="E45" i="1"/>
  <c r="E44" i="1"/>
  <c r="E52" i="1"/>
  <c r="E64" i="17"/>
  <c r="E67" i="27"/>
  <c r="G44" i="29"/>
  <c r="F63" i="27"/>
  <c r="F91" i="1" s="1"/>
  <c r="F62" i="27"/>
  <c r="F65" i="27" s="1"/>
  <c r="F60" i="27"/>
  <c r="AB566" i="31"/>
  <c r="U859" i="30" s="1"/>
  <c r="AC566" i="31"/>
  <c r="V859" i="30" s="1"/>
  <c r="E71" i="17" l="1"/>
  <c r="E67" i="17"/>
  <c r="E68" i="17" s="1"/>
  <c r="E70" i="17" s="1"/>
  <c r="E56" i="1"/>
  <c r="I44" i="29"/>
  <c r="H62" i="27"/>
  <c r="H65" i="27" s="1"/>
  <c r="H63" i="27"/>
  <c r="H91" i="1" s="1"/>
  <c r="H60" i="27"/>
  <c r="F64" i="17"/>
  <c r="F67" i="27"/>
  <c r="H66" i="17"/>
  <c r="H44" i="17"/>
  <c r="H83" i="17" s="1"/>
  <c r="I64" i="29" s="1"/>
  <c r="I65" i="29" s="1"/>
  <c r="F55" i="1"/>
  <c r="F54" i="1"/>
  <c r="F42" i="1"/>
  <c r="F47" i="1"/>
  <c r="F41" i="1"/>
  <c r="F38" i="1"/>
  <c r="F51" i="1"/>
  <c r="F40" i="1"/>
  <c r="F45" i="1"/>
  <c r="F50" i="1"/>
  <c r="F52" i="1"/>
  <c r="F48" i="1"/>
  <c r="F53" i="1"/>
  <c r="F43" i="1"/>
  <c r="F46" i="1"/>
  <c r="F49" i="1"/>
  <c r="F39" i="1"/>
  <c r="F44" i="1"/>
  <c r="H44" i="29"/>
  <c r="G63" i="27"/>
  <c r="G91" i="1" s="1"/>
  <c r="K44" i="1" s="1"/>
  <c r="G62" i="27"/>
  <c r="G65" i="27" s="1"/>
  <c r="G60" i="27"/>
  <c r="G44" i="17"/>
  <c r="G66" i="17"/>
  <c r="G64" i="17" l="1"/>
  <c r="G67" i="27"/>
  <c r="G47" i="1"/>
  <c r="G51" i="1"/>
  <c r="G49" i="1"/>
  <c r="G53" i="1"/>
  <c r="G48" i="1"/>
  <c r="G40" i="1"/>
  <c r="G45" i="1"/>
  <c r="G46" i="1"/>
  <c r="G55" i="1"/>
  <c r="G44" i="1"/>
  <c r="G43" i="1"/>
  <c r="G42" i="1"/>
  <c r="G39" i="1"/>
  <c r="G41" i="1"/>
  <c r="G54" i="1"/>
  <c r="G38" i="1"/>
  <c r="G52" i="1"/>
  <c r="G50" i="1"/>
  <c r="K51" i="1"/>
  <c r="K43" i="1"/>
  <c r="K54" i="1"/>
  <c r="K42" i="1"/>
  <c r="K52" i="1"/>
  <c r="K40" i="1"/>
  <c r="K49" i="1"/>
  <c r="K47" i="1"/>
  <c r="K39" i="1"/>
  <c r="K53" i="1"/>
  <c r="K45" i="1"/>
  <c r="K55" i="1"/>
  <c r="F56" i="1"/>
  <c r="K38" i="1"/>
  <c r="F67" i="17"/>
  <c r="F68" i="17" s="1"/>
  <c r="F70" i="17" s="1"/>
  <c r="F71" i="17"/>
  <c r="K46" i="1"/>
  <c r="G83" i="17"/>
  <c r="H64" i="29" s="1"/>
  <c r="H65" i="29" s="1"/>
  <c r="J44" i="17"/>
  <c r="K50" i="1"/>
  <c r="H39" i="1"/>
  <c r="H54" i="1"/>
  <c r="H41" i="1"/>
  <c r="H53" i="1"/>
  <c r="H51" i="1"/>
  <c r="H55" i="1"/>
  <c r="H44" i="1"/>
  <c r="H47" i="1"/>
  <c r="H46" i="1"/>
  <c r="H48" i="1"/>
  <c r="H42" i="1"/>
  <c r="H43" i="1"/>
  <c r="H45" i="1"/>
  <c r="H49" i="1"/>
  <c r="H38" i="1"/>
  <c r="H52" i="1"/>
  <c r="H40" i="1"/>
  <c r="H50" i="1"/>
  <c r="E85" i="17"/>
  <c r="F66" i="29" s="1"/>
  <c r="F67" i="29" s="1"/>
  <c r="K41" i="1"/>
  <c r="H64" i="17"/>
  <c r="H67" i="27"/>
  <c r="K48" i="1"/>
  <c r="H56" i="1" l="1"/>
  <c r="F85" i="17"/>
  <c r="G66" i="29" s="1"/>
  <c r="G67" i="29" s="1"/>
  <c r="H71" i="17"/>
  <c r="H67" i="17"/>
  <c r="H68" i="17" s="1"/>
  <c r="H70" i="17" s="1"/>
  <c r="E87" i="17"/>
  <c r="K56" i="1"/>
  <c r="J83" i="17"/>
  <c r="G56" i="1"/>
  <c r="G67" i="17"/>
  <c r="G68" i="17" s="1"/>
  <c r="G70" i="17" s="1"/>
  <c r="G71" i="17"/>
  <c r="F87" i="17" l="1"/>
  <c r="H85" i="17"/>
  <c r="I66" i="29" s="1"/>
  <c r="I67" i="29" s="1"/>
  <c r="G85" i="17"/>
  <c r="H66" i="29" s="1"/>
  <c r="H67" i="29" s="1"/>
  <c r="F47" i="29"/>
  <c r="F48" i="29" s="1"/>
  <c r="F50" i="29" s="1"/>
  <c r="F60" i="29" s="1"/>
  <c r="G47" i="29"/>
  <c r="G48" i="29" s="1"/>
  <c r="G50" i="29" s="1"/>
  <c r="G60" i="29" s="1"/>
  <c r="J71" i="17"/>
  <c r="J70" i="17"/>
  <c r="H87" i="17" l="1"/>
  <c r="I47" i="29"/>
  <c r="F62" i="29"/>
  <c r="E86" i="1"/>
  <c r="E84" i="1"/>
  <c r="F68" i="29"/>
  <c r="E85" i="1" s="1"/>
  <c r="G68" i="29"/>
  <c r="F85" i="1" s="1"/>
  <c r="F84" i="1"/>
  <c r="G87" i="17"/>
  <c r="J85" i="17"/>
  <c r="F86" i="1"/>
  <c r="G62" i="29"/>
  <c r="J87" i="17" l="1"/>
  <c r="F87" i="1"/>
  <c r="F58" i="1" s="1"/>
  <c r="F31" i="1"/>
  <c r="E31" i="1"/>
  <c r="E87" i="1"/>
  <c r="E58" i="1" s="1"/>
  <c r="H47" i="29"/>
  <c r="F30" i="1"/>
  <c r="F88" i="1"/>
  <c r="F57" i="1"/>
  <c r="E30" i="1"/>
  <c r="E57" i="1"/>
  <c r="E88" i="1"/>
  <c r="I68" i="29"/>
  <c r="H85" i="1" s="1"/>
  <c r="H84" i="1"/>
  <c r="F32" i="1" l="1"/>
  <c r="F59" i="1"/>
  <c r="H30" i="1"/>
  <c r="H57" i="1"/>
  <c r="E32" i="1"/>
  <c r="E59" i="1"/>
  <c r="H68" i="29"/>
  <c r="G85" i="1" s="1"/>
  <c r="K85" i="1" s="1"/>
  <c r="G84" i="1"/>
  <c r="G30" i="1" l="1"/>
  <c r="G57" i="1"/>
  <c r="K30" i="1"/>
  <c r="K84" i="1"/>
  <c r="K57" i="1"/>
  <c r="H34" i="29" l="1"/>
  <c r="H38" i="29" l="1"/>
  <c r="H58" i="29" s="1"/>
  <c r="H99" i="4"/>
  <c r="H46" i="29"/>
  <c r="H48" i="29" s="1"/>
  <c r="H50" i="29" s="1"/>
  <c r="H60" i="29" s="1"/>
  <c r="G86" i="1" s="1"/>
  <c r="H62" i="29" l="1"/>
  <c r="G87" i="1" s="1"/>
  <c r="G58" i="1" s="1"/>
  <c r="G59" i="1" s="1"/>
  <c r="G31" i="1"/>
  <c r="G32" i="1" s="1"/>
  <c r="G88" i="1"/>
  <c r="H100" i="4"/>
  <c r="H103" i="4"/>
  <c r="H104" i="4" s="1"/>
  <c r="I34" i="29" l="1"/>
  <c r="I38" i="29" l="1"/>
  <c r="I58" i="29" s="1"/>
  <c r="I99" i="4"/>
  <c r="I46" i="29"/>
  <c r="I48" i="29" s="1"/>
  <c r="I50" i="29" s="1"/>
  <c r="I60" i="29" s="1"/>
  <c r="H86" i="1" s="1"/>
  <c r="I100" i="4" l="1"/>
  <c r="I103" i="4"/>
  <c r="I104" i="4" s="1"/>
  <c r="I62" i="29"/>
  <c r="H87" i="1" s="1"/>
  <c r="H88" i="1" s="1"/>
  <c r="H31" i="1"/>
  <c r="H32" i="1" s="1"/>
  <c r="K86" i="1"/>
  <c r="K31" i="1"/>
  <c r="K32" i="1" s="1"/>
  <c r="K58" i="1" l="1"/>
  <c r="K59" i="1" s="1"/>
  <c r="H58" i="1"/>
  <c r="H59" i="1" s="1"/>
  <c r="K87" i="1"/>
  <c r="K88" i="1" s="1"/>
</calcChain>
</file>

<file path=xl/sharedStrings.xml><?xml version="1.0" encoding="utf-8"?>
<sst xmlns="http://schemas.openxmlformats.org/spreadsheetml/2006/main" count="5680" uniqueCount="1788">
  <si>
    <t>Regulatory Financial Performance Report</t>
  </si>
  <si>
    <t xml:space="preserve">                           </t>
  </si>
  <si>
    <t>RIIO-2 start date (enter 2022 for 2021-22)</t>
  </si>
  <si>
    <t>Licensee</t>
  </si>
  <si>
    <t>NGET (TO)</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</si>
  <si>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</si>
  <si>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</si>
  <si>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</si>
  <si>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</si>
  <si>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</si>
  <si>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</si>
  <si>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</si>
  <si>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</si>
  <si>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</si>
  <si>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</si>
  <si>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</si>
  <si>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</si>
  <si>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</si>
  <si>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</si>
  <si>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</si>
  <si>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</si>
  <si>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</si>
  <si>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</si>
  <si>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</si>
  <si>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</si>
  <si>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</si>
  <si>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</si>
  <si>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</si>
  <si>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</si>
  <si>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</si>
  <si>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</si>
  <si>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</si>
  <si>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</si>
  <si>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</si>
  <si>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Updated to reflect PCFM</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</si>
  <si>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</si>
  <si>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</si>
  <si>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</si>
  <si>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</si>
  <si>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</si>
  <si>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</si>
  <si>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</si>
  <si>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</si>
  <si>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</si>
  <si>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</si>
  <si>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</si>
  <si>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</si>
  <si>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</si>
  <si>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</si>
  <si>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</si>
  <si>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</si>
  <si>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</si>
  <si>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</si>
  <si>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</si>
  <si>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</si>
  <si>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</si>
  <si>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</si>
  <si>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</si>
  <si>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</si>
  <si>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</si>
  <si>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</si>
  <si>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</si>
  <si>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</si>
  <si>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</si>
  <si>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</si>
  <si>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</si>
  <si>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</si>
  <si>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</si>
  <si>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</si>
  <si>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</si>
  <si>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</si>
  <si>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</si>
  <si>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</si>
  <si>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</si>
  <si>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</si>
  <si>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</si>
  <si>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</si>
  <si>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</si>
  <si>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</si>
  <si>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</si>
  <si>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Cadent-NW</t>
  </si>
  <si>
    <t>NGN</t>
  </si>
  <si>
    <t>SGN - Scotland</t>
  </si>
  <si>
    <t>SGN - Southern</t>
  </si>
  <si>
    <t>WWU</t>
  </si>
  <si>
    <t>NGGT (TO)</t>
  </si>
  <si>
    <t>NGGT (SO)</t>
  </si>
  <si>
    <t>NGGT (TO+SO)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</si>
  <si>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</si>
  <si>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</si>
  <si>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</si>
  <si>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</si>
  <si>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</si>
  <si>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</si>
  <si>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</si>
  <si>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</si>
  <si>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</si>
  <si>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</si>
  <si>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</si>
  <si>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</si>
  <si>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</si>
  <si>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</si>
  <si>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</si>
  <si>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</si>
  <si>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</si>
  <si>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</si>
  <si>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</si>
  <si>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</si>
  <si>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</si>
  <si>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</si>
  <si>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</si>
  <si>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</si>
  <si>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</si>
  <si>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</si>
  <si>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</si>
  <si>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</si>
  <si>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</si>
  <si>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</si>
  <si>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</si>
  <si>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</si>
  <si>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</si>
  <si>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</si>
  <si>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</si>
  <si>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</si>
  <si>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</si>
  <si>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</si>
  <si>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</si>
  <si>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</si>
  <si>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</si>
  <si>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</si>
  <si>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</si>
  <si>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</si>
  <si>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</si>
  <si>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</si>
  <si>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</si>
  <si>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</si>
  <si>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</si>
  <si>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</si>
  <si>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</si>
  <si>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</si>
  <si>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</si>
  <si>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</si>
  <si>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</si>
  <si>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</si>
  <si>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</si>
  <si>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</si>
  <si>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</si>
  <si>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</si>
  <si>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</si>
  <si>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</si>
  <si>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</si>
  <si>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</si>
  <si>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</si>
  <si>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</si>
  <si>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</si>
  <si>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</si>
  <si>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</si>
  <si>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</si>
  <si>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</si>
  <si>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</si>
  <si>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</si>
  <si>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</si>
  <si>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</si>
  <si>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</si>
  <si>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</si>
  <si>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</si>
  <si>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</si>
  <si>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</si>
  <si>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</si>
  <si>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</si>
  <si>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</si>
  <si>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</si>
  <si>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</si>
  <si>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</si>
  <si>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</si>
  <si>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</si>
  <si>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</si>
  <si>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</si>
  <si>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</si>
  <si>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</si>
  <si>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</si>
  <si>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</si>
  <si>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</si>
  <si>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</si>
  <si>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</si>
  <si>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</si>
  <si>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</si>
  <si>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</si>
  <si>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</si>
  <si>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</si>
  <si>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</si>
  <si>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V1.0</t>
  </si>
  <si>
    <t>R2</t>
  </si>
  <si>
    <t>In row 100 the difference between tax per stat accounts and tax per regulated business should deduct from one another, not sum the two. Formula has been amended to = E98-E99.</t>
  </si>
  <si>
    <t>R3</t>
  </si>
  <si>
    <t>5 rows have been added for row 25-29 for the Enduring Value adjustments to Totex performance</t>
  </si>
  <si>
    <t>7 rows have been added for row 139-145 for the opex reconciling adjustments.</t>
  </si>
  <si>
    <t>Row 190 - 'Total reconciling items not recognised in totex' cells D190:H190 should contain a SUM formula instead of 0s. D190 formula amended to =SUM(165:189) and dragged across the remaining cells.</t>
  </si>
  <si>
    <t>Row 192 - 'Reconciled Totex' the formula in cells D192:H192 are incorrect. The formula has been amended to =D158-D190 and dragged across the remaining cells.</t>
  </si>
  <si>
    <t>Formula in cells D41-D42 need dragging across to capture all of T2. Should be summing rows 19+37 for customer share and rows 20+38 for NOW share. Otherwise EVs are double counted.</t>
  </si>
  <si>
    <t>The formula in the ‘PCFM/ RRP reported Totex’ row 193 does not work for NGET. The formula included looks up to the totex rec above which links to the PCFM, our PCFM totex values differ from those values included within the RRP for a couple of reasons:-
1. In the PCFM we include an efficiency overlay which is not reflected in the RRP totex tables. 
2. We also include a number of re-openers that are captured in the re-opener pipeline log again this is not reflected in the RRP totex tables.
Both these values have been included in the PCFM for forecasting purposes in order to give our best view of revenues</t>
  </si>
  <si>
    <t>R5a</t>
  </si>
  <si>
    <t>Row 876 "Plus gains on derivative financial instruments" has been replaced as a yellow input with rounding.</t>
  </si>
  <si>
    <t>R6a</t>
  </si>
  <si>
    <t>There are a number of drop down list included within this tab, historically we have always required more data inputs then available in the dropdown list. For example Original currency we require NOK. For this reason we have hardcoded the drop down lists.</t>
  </si>
  <si>
    <t>R8 - Rows 64 and 66</t>
  </si>
  <si>
    <t>The calculations in rows 64 and 66 are resulting in the incorrect tax performance, currently this shows a positive tax impact when we are outperforming on debt. If we are out performing on debt this should be a negative tax impact therefore inline with T1 calculations we believe this formulae should be amended from ‘=('R5 - Financing'!D83*INDEX(Corporate_Tax,MATCH(E$6,Data!$C$15:$N$15,0))*'R8 - Tax'!E$36)’ to ‘-=('R5 - Financing'!D83*INDEX(Corporate_Tax,MATCH(E$6,Data!$C$15:$N$15,0))*'R8 - Tax'!E$36)’</t>
  </si>
  <si>
    <t>R9</t>
  </si>
  <si>
    <t>The table states these values should be input as £m’s, some of the values input into this tab become insignificant when inputted in £m’s. We have exapnded these values out to 3 decimal places for visibility of the value and not 0.</t>
  </si>
  <si>
    <t>V2.0</t>
  </si>
  <si>
    <t xml:space="preserve">R1 - J22:K28 and J49:K55 </t>
  </si>
  <si>
    <t>Corrected cell references in formula for 'cumulative' and RIIO-2 period'</t>
  </si>
  <si>
    <t>R2 - row 24 (RRt)</t>
  </si>
  <si>
    <t>Changed the description to add "per latest PCFM" for more clarity. Guidace document has also been amended.</t>
  </si>
  <si>
    <t>As per Rebekah Thompsons E-Mail on 18th August we have made a manual adjustment to formula on row 68 in R2 sheet to remove statutory DA costs to avoid double count. The formula in row 71 has been updated to add back on depreciation and amortisation costs as these costs belong to the regulatory business and this row is for Total Costs not related to the price control Regulated business. We have not made the proposed change in row 74 proposed by Ofgem as this row already has depreciation and amortisation removed.</t>
  </si>
  <si>
    <t>R3 - row 121, 126, 154</t>
  </si>
  <si>
    <t>Changed the description to '[Input description, add additional rows as required]'</t>
  </si>
  <si>
    <t>R3 - row 138</t>
  </si>
  <si>
    <t>As per Stephanies E-Mail on 11th August we have adjusted DA as part of ‘opex reconciling adjustments’ – row 138  that also feeds into ‘Total net costs after non-price control allocations’ - row 158 in R3. This should make the reconciliation check on row 162 work.</t>
  </si>
  <si>
    <t>R8 - Row 21</t>
  </si>
  <si>
    <t>Corrected cell references in formula</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</si>
  <si>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</si>
  <si>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</si>
  <si>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</si>
  <si>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</si>
  <si>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</si>
  <si>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</si>
  <si>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</si>
  <si>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</si>
  <si>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</si>
  <si>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</si>
  <si>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</si>
  <si>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</si>
  <si>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</si>
  <si>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</si>
  <si>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</si>
  <si>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</si>
  <si>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</si>
  <si>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</si>
  <si>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</si>
  <si>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</si>
  <si>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</si>
  <si>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</si>
  <si>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</si>
  <si>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</si>
  <si>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</si>
  <si>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</si>
  <si>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</si>
  <si>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</si>
  <si>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</si>
  <si>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</si>
  <si>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</si>
  <si>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</si>
  <si>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</si>
  <si>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</si>
  <si>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</si>
  <si>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</si>
  <si>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</si>
  <si>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</si>
  <si>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</si>
  <si>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</si>
  <si>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</si>
  <si>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</si>
  <si>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</si>
  <si>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</si>
  <si>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</si>
  <si>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</si>
  <si>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</si>
  <si>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</si>
  <si>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</si>
  <si>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</si>
  <si>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</si>
  <si>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</si>
  <si>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</si>
  <si>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</si>
  <si>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</si>
  <si>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</si>
  <si>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</si>
  <si>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</si>
  <si>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</si>
  <si>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</si>
  <si>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</si>
  <si>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Deeside &amp; RICA NIC</t>
  </si>
  <si>
    <t>NG ETO adjustment (Capital contributions, Asset usage)</t>
  </si>
  <si>
    <t>BritNed</t>
  </si>
  <si>
    <t xml:space="preserve">Western Link LD </t>
  </si>
  <si>
    <t>Other</t>
  </si>
  <si>
    <t>[Input description]</t>
  </si>
  <si>
    <t>Roundings</t>
  </si>
  <si>
    <t>Total other adjustments</t>
  </si>
  <si>
    <t>Reconciled total revenue</t>
  </si>
  <si>
    <t>Turnover as per Profit and Loss (Stat Accounts)</t>
  </si>
  <si>
    <t>Check</t>
  </si>
  <si>
    <t>Reconciliation: Regulated Network Profit to Statutory Accounts</t>
  </si>
  <si>
    <t>Turnover/Revenue as per Statutory Accounts</t>
  </si>
  <si>
    <t>Collected Regulated Network Revenue</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</si>
  <si>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</si>
  <si>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</si>
  <si>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</si>
  <si>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</si>
  <si>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</si>
  <si>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</si>
  <si>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</si>
  <si>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</si>
  <si>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</si>
  <si>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</si>
  <si>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</si>
  <si>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</si>
  <si>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</si>
  <si>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</si>
  <si>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</si>
  <si>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</si>
  <si>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</si>
  <si>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</si>
  <si>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</si>
  <si>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</si>
  <si>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</si>
  <si>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</si>
  <si>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</si>
  <si>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</si>
  <si>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</si>
  <si>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</si>
  <si>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</si>
  <si>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</si>
  <si>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</si>
  <si>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</si>
  <si>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</si>
  <si>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</si>
  <si>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</si>
  <si>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</si>
  <si>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</si>
  <si>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</si>
  <si>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T1+2 Deferral</t>
  </si>
  <si>
    <t>T1 Non Load</t>
  </si>
  <si>
    <t>ISS Deferral</t>
  </si>
  <si>
    <t>Pre-con rephasing</t>
  </si>
  <si>
    <t>Hinkley T1 Deferral</t>
  </si>
  <si>
    <t>Hinkley T2 Deferral</t>
  </si>
  <si>
    <t>Phasing adjustment</t>
  </si>
  <si>
    <t>Total enduring value adjustments</t>
  </si>
  <si>
    <t>Enduring Value adjustments (UIOLI)</t>
  </si>
  <si>
    <t>[Cross Price Control]</t>
  </si>
  <si>
    <t>[other Enduring Value adjustment]</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</si>
  <si>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</si>
  <si>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</si>
  <si>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</si>
  <si>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</si>
  <si>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</si>
  <si>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</si>
  <si>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</si>
  <si>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</si>
  <si>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</si>
  <si>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</si>
  <si>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</si>
  <si>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</si>
  <si>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</si>
  <si>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</si>
  <si>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</si>
  <si>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</si>
  <si>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</si>
  <si>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</si>
  <si>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</si>
  <si>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</si>
  <si>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</si>
  <si>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</si>
  <si>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Operational Costs Incurred</t>
  </si>
  <si>
    <t>Opex Incurred</t>
  </si>
  <si>
    <t>Total Expenditure Incurred</t>
  </si>
  <si>
    <t>Reconciling Items to Total Net costs after non-price control allocations</t>
  </si>
  <si>
    <t>Opex Reconciling Adjustments</t>
  </si>
  <si>
    <t>Costs related to NGET other Co Codes per statutory accounts</t>
  </si>
  <si>
    <t>Other and roundings</t>
  </si>
  <si>
    <t>IFRS 16 Adjustments</t>
  </si>
  <si>
    <t>Provision Movements</t>
  </si>
  <si>
    <t>Pension adjustments</t>
  </si>
  <si>
    <t>Bad Debts</t>
  </si>
  <si>
    <t>Depreciation, amortisation and capex adjustments</t>
  </si>
  <si>
    <t>Redress payment</t>
  </si>
  <si>
    <t>Costs of Excluded, Consented and De Minimis Services</t>
  </si>
  <si>
    <t>Remove allocated depreciation</t>
  </si>
  <si>
    <t>Profit/Loss on Disposal</t>
  </si>
  <si>
    <t>Remove BSuoS Pass Through</t>
  </si>
  <si>
    <t>Remove CMA Costs</t>
  </si>
  <si>
    <t>Fines and Penaltes</t>
  </si>
  <si>
    <t xml:space="preserve">Total </t>
  </si>
  <si>
    <t>Capex Reconciling Adjustments</t>
  </si>
  <si>
    <t>D4.16 NIC</t>
  </si>
  <si>
    <t>E1.11 ET Pipeline Log Assurance</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</si>
  <si>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</si>
  <si>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</si>
  <si>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</si>
  <si>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</si>
  <si>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</si>
  <si>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</si>
  <si>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</si>
  <si>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</si>
  <si>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DRS</t>
  </si>
  <si>
    <t>Pass through costs</t>
  </si>
  <si>
    <t>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</si>
  <si>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</si>
  <si>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</si>
  <si>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</si>
  <si>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</si>
  <si>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</si>
  <si>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Total Costs per latest RRP submission in row 159 are taken from the Cost &amp; outputs RRP table A1.1_Totex_AP Cell D26</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</si>
  <si>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</si>
  <si>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</si>
  <si>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</si>
  <si>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</si>
  <si>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</si>
  <si>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</si>
  <si>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</si>
  <si>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</si>
  <si>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</si>
  <si>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</si>
  <si>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</si>
  <si>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</si>
  <si>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</si>
  <si>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</si>
  <si>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</si>
  <si>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</si>
  <si>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</si>
  <si>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</si>
  <si>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</si>
  <si>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</si>
  <si>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</si>
  <si>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</si>
  <si>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</si>
  <si>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</si>
  <si>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</si>
  <si>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</si>
  <si>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</si>
  <si>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</si>
  <si>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</si>
  <si>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</si>
  <si>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</si>
  <si>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</si>
  <si>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</si>
  <si>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</si>
  <si>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</si>
  <si>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</si>
  <si>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</si>
  <si>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</si>
  <si>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</si>
  <si>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</si>
  <si>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</si>
  <si>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</si>
  <si>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</si>
  <si>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</si>
  <si>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</si>
  <si>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</si>
  <si>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</si>
  <si>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</si>
  <si>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</si>
  <si>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</si>
  <si>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</si>
  <si>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</si>
  <si>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</si>
  <si>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</si>
  <si>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</si>
  <si>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</si>
  <si>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</si>
  <si>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</si>
  <si>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Years ending 31 March</t>
  </si>
  <si>
    <t>B.</t>
  </si>
  <si>
    <t>Interest paid on External borrowings, bonds, external loans and finance leases (+ve)</t>
  </si>
  <si>
    <t>Bonds</t>
  </si>
  <si>
    <t>Income statement (P&amp;L) charge</t>
  </si>
  <si>
    <t>Ref</t>
  </si>
  <si>
    <t>£m</t>
  </si>
  <si>
    <t>B1.5</t>
  </si>
  <si>
    <t>B1.6</t>
  </si>
  <si>
    <t>B1.7</t>
  </si>
  <si>
    <t>B1.8</t>
  </si>
  <si>
    <t>B1.9</t>
  </si>
  <si>
    <t>B1.10</t>
  </si>
  <si>
    <t>B1.11</t>
  </si>
  <si>
    <t>B1.12</t>
  </si>
  <si>
    <t>B1.13</t>
  </si>
  <si>
    <t>B1.14</t>
  </si>
  <si>
    <t>B1.15</t>
  </si>
  <si>
    <t>B1.16</t>
  </si>
  <si>
    <t>B1.17</t>
  </si>
  <si>
    <t>B1.18</t>
  </si>
  <si>
    <t>B1.19</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</si>
  <si>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</si>
  <si>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</si>
  <si>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</si>
  <si>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</si>
  <si>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</si>
  <si>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</si>
  <si>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</si>
  <si>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</si>
  <si>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</si>
  <si>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</si>
  <si>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</si>
  <si>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</si>
  <si>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</si>
  <si>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</si>
  <si>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</si>
  <si>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</si>
  <si>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</si>
  <si>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</si>
  <si>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</si>
  <si>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</si>
  <si>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</si>
  <si>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</si>
  <si>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</si>
  <si>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</si>
  <si>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</si>
  <si>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</si>
  <si>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</si>
  <si>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</si>
  <si>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</si>
  <si>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</si>
  <si>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</si>
  <si>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</si>
  <si>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</si>
  <si>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</si>
  <si>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</si>
  <si>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</si>
  <si>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</si>
  <si>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</si>
  <si>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</si>
  <si>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</si>
  <si>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</si>
  <si>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</si>
  <si>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</si>
  <si>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</si>
  <si>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</si>
  <si>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</si>
  <si>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</si>
  <si>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</si>
  <si>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Cash flow</t>
  </si>
  <si>
    <t>&amp;</t>
  </si>
  <si>
    <t>External loan or finance lease</t>
  </si>
  <si>
    <t>B2.1</t>
  </si>
  <si>
    <t>B2.2</t>
  </si>
  <si>
    <t>B2.3</t>
  </si>
  <si>
    <t>B2.4</t>
  </si>
  <si>
    <t>B2.5</t>
  </si>
  <si>
    <t>B2.6</t>
  </si>
  <si>
    <t>B2.7</t>
  </si>
  <si>
    <t>B2.8</t>
  </si>
  <si>
    <t>B2.9</t>
  </si>
  <si>
    <t>B2.10</t>
  </si>
  <si>
    <t>B2.11</t>
  </si>
  <si>
    <t>B2.12</t>
  </si>
  <si>
    <t>B2.13</t>
  </si>
  <si>
    <t>B2.14</t>
  </si>
  <si>
    <t>B2.15</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</si>
  <si>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</si>
  <si>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</si>
  <si>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</si>
  <si>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</si>
  <si>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</si>
  <si>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</si>
  <si>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</si>
  <si>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</si>
  <si>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</si>
  <si>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</si>
  <si>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</si>
  <si>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</si>
  <si>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</si>
  <si>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</si>
  <si>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</si>
  <si>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</si>
  <si>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</si>
  <si>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</si>
  <si>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</si>
  <si>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</si>
  <si>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</si>
  <si>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</si>
  <si>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</si>
  <si>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</si>
  <si>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Description</t>
  </si>
  <si>
    <t>Payable/ (Receivable)</t>
  </si>
  <si>
    <t>E1</t>
  </si>
  <si>
    <t>E2</t>
  </si>
  <si>
    <t>E3</t>
  </si>
  <si>
    <t>E4</t>
  </si>
  <si>
    <t>E5</t>
  </si>
  <si>
    <t>E6</t>
  </si>
  <si>
    <t>E7</t>
  </si>
  <si>
    <t>E8</t>
  </si>
  <si>
    <t>E9</t>
  </si>
  <si>
    <t>F.</t>
  </si>
  <si>
    <t xml:space="preserve">Finance cost for other financial exposure </t>
  </si>
  <si>
    <t>F1</t>
  </si>
  <si>
    <t>F2</t>
  </si>
  <si>
    <t>F3</t>
  </si>
  <si>
    <t>F4</t>
  </si>
  <si>
    <t>F5</t>
  </si>
  <si>
    <t>F6</t>
  </si>
  <si>
    <t>F7</t>
  </si>
  <si>
    <t>F8</t>
  </si>
  <si>
    <t>F9</t>
  </si>
  <si>
    <t>G.</t>
  </si>
  <si>
    <t>Financing costs paid (received) on Currency SWAPS as per income statement</t>
  </si>
  <si>
    <t>Issue date</t>
  </si>
  <si>
    <t>Maturity date</t>
  </si>
  <si>
    <t>Description &amp; rationale for instrument</t>
  </si>
  <si>
    <t>dd/mm/yyyy</t>
  </si>
  <si>
    <t>G4</t>
  </si>
  <si>
    <t>G5</t>
  </si>
  <si>
    <t>G6</t>
  </si>
  <si>
    <t>G7</t>
  </si>
  <si>
    <t>G8</t>
  </si>
  <si>
    <t>G9</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</si>
  <si>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</si>
  <si>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</si>
  <si>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</si>
  <si>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</si>
  <si>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</si>
  <si>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</si>
  <si>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</si>
  <si>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</si>
  <si>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</si>
  <si>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</si>
  <si>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</si>
  <si>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</si>
  <si>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</si>
  <si>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</si>
  <si>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</si>
  <si>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</si>
  <si>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</si>
  <si>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</si>
  <si>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</si>
  <si>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</si>
  <si>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</si>
  <si>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</si>
  <si>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</si>
  <si>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</si>
  <si>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</si>
  <si>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</si>
  <si>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</si>
  <si>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</si>
  <si>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</si>
  <si>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</si>
  <si>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</si>
  <si>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</si>
  <si>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</si>
  <si>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</si>
  <si>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</si>
  <si>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</si>
  <si>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</si>
  <si>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</si>
  <si>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</si>
  <si>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GX</t>
  </si>
  <si>
    <t xml:space="preserve">{ Insert new rows here as necessary } </t>
  </si>
  <si>
    <t xml:space="preserve">Total G. </t>
  </si>
  <si>
    <t>H</t>
  </si>
  <si>
    <t xml:space="preserve">Financing costs paid (received) on Interest rate SWAPS </t>
  </si>
  <si>
    <t xml:space="preserve">Receive leg </t>
  </si>
  <si>
    <t>Pay leg</t>
  </si>
  <si>
    <t>Notional amount</t>
  </si>
  <si>
    <t>Payment frequency</t>
  </si>
  <si>
    <t>6m / 12m etc</t>
  </si>
  <si>
    <t>H3</t>
  </si>
  <si>
    <t>H16</t>
  </si>
  <si>
    <t>H22</t>
  </si>
  <si>
    <t>H23</t>
  </si>
  <si>
    <t>H24</t>
  </si>
  <si>
    <t>H34</t>
  </si>
  <si>
    <t>H40</t>
  </si>
  <si>
    <t>H43</t>
  </si>
  <si>
    <t>H44</t>
  </si>
  <si>
    <t>H45</t>
  </si>
  <si>
    <t>H51</t>
  </si>
  <si>
    <t>H53</t>
  </si>
  <si>
    <t>H54</t>
  </si>
  <si>
    <t>H59</t>
  </si>
  <si>
    <t>H60</t>
  </si>
  <si>
    <t>H65</t>
  </si>
  <si>
    <t>H67</t>
  </si>
  <si>
    <t>H68</t>
  </si>
  <si>
    <t>H70</t>
  </si>
  <si>
    <t>H74</t>
  </si>
  <si>
    <t>H76</t>
  </si>
  <si>
    <t>H77</t>
  </si>
  <si>
    <t>H84</t>
  </si>
  <si>
    <t>H86</t>
  </si>
  <si>
    <t>H89</t>
  </si>
  <si>
    <t>H99</t>
  </si>
  <si>
    <t>H100</t>
  </si>
  <si>
    <t>H101</t>
  </si>
  <si>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</si>
  <si>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</si>
  <si>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</si>
  <si>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</si>
  <si>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</si>
  <si>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</si>
  <si>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</si>
  <si>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</si>
  <si>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</si>
  <si>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</si>
  <si>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</si>
  <si>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</si>
  <si>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</si>
  <si>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</si>
  <si>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</si>
  <si>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</si>
  <si>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</si>
  <si>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</si>
  <si>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</si>
  <si>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</si>
  <si>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</si>
  <si>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H123</t>
  </si>
  <si>
    <t>H124</t>
  </si>
  <si>
    <t>H125</t>
  </si>
  <si>
    <t>H126</t>
  </si>
  <si>
    <t>H127</t>
  </si>
  <si>
    <t>H128</t>
  </si>
  <si>
    <t>H129</t>
  </si>
  <si>
    <t>H130</t>
  </si>
  <si>
    <t>H131</t>
  </si>
  <si>
    <t>H132</t>
  </si>
  <si>
    <t>H133</t>
  </si>
  <si>
    <t>H134</t>
  </si>
  <si>
    <t>H135</t>
  </si>
  <si>
    <t>H136</t>
  </si>
  <si>
    <t>H137</t>
  </si>
  <si>
    <t>H138</t>
  </si>
  <si>
    <t>H139</t>
  </si>
  <si>
    <t>H140</t>
  </si>
  <si>
    <t>H141</t>
  </si>
  <si>
    <t>H142</t>
  </si>
  <si>
    <t>H143</t>
  </si>
  <si>
    <t>H144</t>
  </si>
  <si>
    <t>H145</t>
  </si>
  <si>
    <t>H146</t>
  </si>
  <si>
    <t>H147</t>
  </si>
  <si>
    <t>H148</t>
  </si>
  <si>
    <t>H149</t>
  </si>
  <si>
    <t>H150</t>
  </si>
  <si>
    <t>H151</t>
  </si>
  <si>
    <t>H152</t>
  </si>
  <si>
    <t>H153</t>
  </si>
  <si>
    <t>H154</t>
  </si>
  <si>
    <t>H155</t>
  </si>
  <si>
    <t>H156</t>
  </si>
  <si>
    <t>H157</t>
  </si>
  <si>
    <t xml:space="preserve">Total H. </t>
  </si>
  <si>
    <t>I.</t>
  </si>
  <si>
    <t xml:space="preserve">Financing costs paid (received) on Inflation-linked SWAPS </t>
  </si>
  <si>
    <t>I4</t>
  </si>
  <si>
    <t>I5</t>
  </si>
  <si>
    <t>I8</t>
  </si>
  <si>
    <t>I9</t>
  </si>
  <si>
    <t>IX</t>
  </si>
  <si>
    <t xml:space="preserve">Total I. </t>
  </si>
  <si>
    <t>J.</t>
  </si>
  <si>
    <t>Financing costs paid (received) on Interest Rate Forward Contracts</t>
  </si>
  <si>
    <t>J1</t>
  </si>
  <si>
    <t>J2</t>
  </si>
  <si>
    <t>J3</t>
  </si>
  <si>
    <t>J4</t>
  </si>
  <si>
    <t>JX</t>
  </si>
  <si>
    <t>Total J.</t>
  </si>
  <si>
    <t>K.</t>
  </si>
  <si>
    <t>Financing costs paid (received) on foreign exchange forward rate contracts</t>
  </si>
  <si>
    <t>K1</t>
  </si>
  <si>
    <t>K2</t>
  </si>
  <si>
    <t>K3</t>
  </si>
  <si>
    <t>K4</t>
  </si>
  <si>
    <t>KX</t>
  </si>
  <si>
    <t>Total K.</t>
  </si>
  <si>
    <t>L.</t>
  </si>
  <si>
    <t xml:space="preserve">Financing costs paid (received) on other swaps, forward rate contracts &amp; OTC options </t>
  </si>
  <si>
    <t>L1</t>
  </si>
  <si>
    <t>L2</t>
  </si>
  <si>
    <t>L3</t>
  </si>
  <si>
    <t>L4</t>
  </si>
  <si>
    <t>L5</t>
  </si>
  <si>
    <t>L6</t>
  </si>
  <si>
    <t>L7</t>
  </si>
  <si>
    <t>L8</t>
  </si>
  <si>
    <t>L9</t>
  </si>
  <si>
    <t>L10</t>
  </si>
  <si>
    <t>L11</t>
  </si>
  <si>
    <t>L12</t>
  </si>
  <si>
    <t>L13</t>
  </si>
  <si>
    <t>L14</t>
  </si>
  <si>
    <t>L15</t>
  </si>
  <si>
    <t>LX</t>
  </si>
  <si>
    <t>Total L.</t>
  </si>
  <si>
    <t>M.</t>
  </si>
  <si>
    <t xml:space="preserve">Financing costs paid (received) on other derivatives including exchange traded futures and options </t>
  </si>
  <si>
    <t>M1</t>
  </si>
  <si>
    <t>M2</t>
  </si>
  <si>
    <t>M3</t>
  </si>
  <si>
    <t>M4</t>
  </si>
  <si>
    <t>MX</t>
  </si>
  <si>
    <t>Total M.</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</si>
  <si>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</si>
  <si>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</si>
  <si>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</si>
  <si>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</si>
  <si>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</si>
  <si>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</si>
  <si>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G-M</t>
  </si>
  <si>
    <t>Derivatives etc.</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</si>
  <si>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</si>
  <si>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</si>
  <si>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</si>
  <si>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</si>
  <si>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</si>
  <si>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</si>
  <si>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</si>
  <si>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</si>
  <si>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</si>
  <si>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</si>
  <si>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Tax Interest</t>
  </si>
  <si>
    <t>Rounding</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</si>
  <si>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</si>
  <si>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</si>
  <si>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</si>
  <si>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</si>
  <si>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</si>
  <si>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</si>
  <si>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</si>
  <si>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</si>
  <si>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</si>
  <si>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</si>
  <si>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</si>
  <si>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</si>
  <si>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</si>
  <si>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</si>
  <si>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</si>
  <si>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</si>
  <si>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</si>
  <si>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</si>
  <si>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</si>
  <si>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</si>
  <si>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</si>
  <si>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</si>
  <si>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</si>
  <si>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</si>
  <si>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</si>
  <si>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</si>
  <si>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</si>
  <si>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</si>
  <si>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Capitalised interest added back</t>
  </si>
  <si>
    <t>Provision unwind added back</t>
  </si>
  <si>
    <t>Rounding adjustment</t>
  </si>
  <si>
    <t>Customer debt</t>
  </si>
  <si>
    <t>Exceptional Costs of early redemption on long term debt- TBC</t>
  </si>
  <si>
    <t>7. IFRS 16 Right of Use Lease Liability</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</si>
  <si>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</si>
  <si>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</si>
  <si>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</si>
  <si>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</si>
  <si>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</si>
  <si>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Gas 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</si>
  <si>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</si>
  <si>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</si>
  <si>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</si>
  <si>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</si>
  <si>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</si>
  <si>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Derivatives etc</t>
  </si>
  <si>
    <t>Sub Total: "debt interest paid"</t>
  </si>
  <si>
    <t>Plus other, non debt elements of interest paid</t>
  </si>
  <si>
    <t>RCF Commitment Fees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</si>
  <si>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</si>
  <si>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</si>
  <si>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</si>
  <si>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</si>
  <si>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</si>
  <si>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</si>
  <si>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</si>
  <si>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</si>
  <si>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</si>
  <si>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</si>
  <si>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</si>
  <si>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System operator allocation (transmission companies only)</t>
  </si>
  <si>
    <t>End of sheet</t>
  </si>
  <si>
    <t>`</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</si>
  <si>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</si>
  <si>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</si>
  <si>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</si>
  <si>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</si>
  <si>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</si>
  <si>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</si>
  <si>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</si>
  <si>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</si>
  <si>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</si>
  <si>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</si>
  <si>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</si>
  <si>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</si>
  <si>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</si>
  <si>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</si>
  <si>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</si>
  <si>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</si>
  <si>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</si>
  <si>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</si>
  <si>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</si>
  <si>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</si>
  <si>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</si>
  <si>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</si>
  <si>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</si>
  <si>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</si>
  <si>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</si>
  <si>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</si>
  <si>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</si>
  <si>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</si>
  <si>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</si>
  <si>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</si>
  <si>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</si>
  <si>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</si>
  <si>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</si>
  <si>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</si>
  <si>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</si>
  <si>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</si>
  <si>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</si>
  <si>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</si>
  <si>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</si>
  <si>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</si>
  <si>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</si>
  <si>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</si>
  <si>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Analysis of External borrowings, bonds, external loans and finance leases (+ve)</t>
  </si>
  <si>
    <t>ISIN</t>
  </si>
  <si>
    <t>Bond type</t>
  </si>
  <si>
    <t>Payment rank</t>
  </si>
  <si>
    <t>Coupon rate / margin spread on reference rate</t>
  </si>
  <si>
    <t>Original currency</t>
  </si>
  <si>
    <t>GBP value on date of issue</t>
  </si>
  <si>
    <t>Transaction costs (total)</t>
  </si>
  <si>
    <t xml:space="preserve">Swapped / Hedged at issue </t>
  </si>
  <si>
    <t xml:space="preserve">Post swap / hedge coupon rate </t>
  </si>
  <si>
    <t>Base index</t>
  </si>
  <si>
    <t>Notional issued</t>
  </si>
  <si>
    <t>Yield to maturity at issue date</t>
  </si>
  <si>
    <t>GBP / EUR / etc</t>
  </si>
  <si>
    <t xml:space="preserve"> (pay leg) %</t>
  </si>
  <si>
    <t>XS0834487414</t>
  </si>
  <si>
    <t>20 YR FIXED RATE DEBT: PAY 3.35000% EUR 100.0 M MAT: 27-SEP-2032</t>
  </si>
  <si>
    <t>Fixed</t>
  </si>
  <si>
    <t>N/A</t>
  </si>
  <si>
    <t>0% Fixed - 0% ;100% Floating - 6M Libor +110 bp</t>
  </si>
  <si>
    <t>XS0882170391</t>
  </si>
  <si>
    <t>22 YR FIXED RATE DEBT: PAY 3.21000% EUR 100.0 M MAT: 30-JAN-2035</t>
  </si>
  <si>
    <t>0% Fixed - 0% ;100% Floating - 6M Libor +101 bp</t>
  </si>
  <si>
    <t>XS0094073672</t>
  </si>
  <si>
    <t>25 YR FIXED RATE DEBT: PAY 5.87500% GBP 444.5 M MAT: 02-FEB-2024</t>
  </si>
  <si>
    <t>XS0132735373</t>
  </si>
  <si>
    <t>27 YR FIXED RATE DEBT: PAY 6.50000% GBP 297.819M MAT: 07/27/28</t>
  </si>
  <si>
    <t>XS0212915952</t>
  </si>
  <si>
    <t>30 YR FIXED RATE DEBT: PAY 5.00000% GBP 75.0 M MAT: 01-MAR-2035</t>
  </si>
  <si>
    <t>XS0407912053</t>
  </si>
  <si>
    <t>22 YR FIXED RATE DEBT: PAY 7.37500% GBP 350.0 M MAT: 13-JAN-2031</t>
  </si>
  <si>
    <t>XS0789331948</t>
  </si>
  <si>
    <t>15 YR FIXED RATE DEBT: PAY 4.00000% GBP 400.0 M MAT: 08-JUN-2027</t>
  </si>
  <si>
    <t>15 YR FIXED RATE DEBT: PAY 4.00000% GBP 75.0 M MAT: 08-JUN-2027</t>
  </si>
  <si>
    <t>15 YR FIXED RATE DEBT: PAY 4.00000% GBP 50.0 M MAT: 08-JUN-2027</t>
  </si>
  <si>
    <t>XS0682417745</t>
  </si>
  <si>
    <t>15 YR FIXED RATE DEBT: PAY 3.30000% HKD 250.0 M MAT: 23-SEP-2026</t>
  </si>
  <si>
    <t>0% Fixed - 0% ;100% Floating - 6M Libor +115 bp</t>
  </si>
  <si>
    <t>XS0863543657</t>
  </si>
  <si>
    <t>15 YR FIXED RATE DEBT: PAY 3.10000% HKD 300.0 M MAT: 13-DEC-2027</t>
  </si>
  <si>
    <t>0% Fixed - 0% ;100% Floating - 6M Libor +98 bp</t>
  </si>
  <si>
    <t>XS0884734426</t>
  </si>
  <si>
    <t>15 YR FIXED RATE DEBT: PAY 3.25000% HKD 300.0 M MAT: 07-FEB-2028</t>
  </si>
  <si>
    <t>0% Fixed - 0% ;100% Floating - 6M Libor +88 bp</t>
  </si>
  <si>
    <t>XS0880448195</t>
  </si>
  <si>
    <t>12 YR FIXED RATE DEBT: PAY 4.35000% NOK 1190.0 M MAT: 29-JAN-2025</t>
  </si>
  <si>
    <t>NOK</t>
  </si>
  <si>
    <t>0% Fixed - 0% ;100% Floating - 6M Libor +83 bp</t>
  </si>
  <si>
    <t>XS0132734483</t>
  </si>
  <si>
    <t>29 YR FLOATING RATE DEBT: PAY 12M/1Y RPI 3.5890% REAL RATE GBP 40.0 M MAT: 27-JUL-2030</t>
  </si>
  <si>
    <t>RPI</t>
  </si>
  <si>
    <t>28.5 YR FLOATING RATE DEBT: PAY 12M/1Y RPI 3.5890% REAL RATE GBP 30.0 M MAT: 27-JUL-2030</t>
  </si>
  <si>
    <t>XS0150038395</t>
  </si>
  <si>
    <t>30 YR FLOATING RATE DEBT: PAY 12M/1Y RPI 2.8170% REAL RATE GBP 50.0 M MAT: 08-JUL-2032</t>
  </si>
  <si>
    <t>XS0223274613</t>
  </si>
  <si>
    <t>30 YR FLOATING RATE DEBT: PAY 12M/1Y RPI 2.2280% REAL RATE GBP 50.0 M MAT: 28-JUN-2035</t>
  </si>
  <si>
    <t>XS0228776588</t>
  </si>
  <si>
    <t>30.0 YR FLOATING RATE DEBT: PAY 12M/1Y RPI 2.0752% REAL RATE GBP 25.0 M MAT: 28-AUG-2035</t>
  </si>
  <si>
    <t>XS0230845207</t>
  </si>
  <si>
    <t>30 YR FLOATING RATE DEBT: PAY 12M/1Y RPI 2.0353% REAL RATE GBP 75.0 M MAT: 28-SEP-2035</t>
  </si>
  <si>
    <t>XS0232785021</t>
  </si>
  <si>
    <t>30 YR FLOATING RATE DEBT: PAY 12M/1Y RPI 1.9949% REAL RATE GBP 25.0 M MAT: 17-OCT-2035</t>
  </si>
  <si>
    <t>XS0262900821</t>
  </si>
  <si>
    <t>30 YR FLOATING RATE DEBT: PAY 12M/1Y RPI 1.8204% REAL RATE GBP 50.0 M MAT: 23-NOV-2035</t>
  </si>
  <si>
    <t>XS0248040544</t>
  </si>
  <si>
    <t>30 YR FLOATING RATE DEBT: PAY 12M/1Y RPI 1.6449% REAL RATE GBP 200.0 M MAT: 03-APR-2036</t>
  </si>
  <si>
    <t>XS0250104774</t>
  </si>
  <si>
    <t>30 YR FLOATING RATE DEBT: PAY 12M/1Y RPI 1.6747% REAL RATE GBP 50.0 M MAT: 07-APR-2036</t>
  </si>
  <si>
    <t>XS0253545080</t>
  </si>
  <si>
    <t>50 YR FLOATING RATE DEBT: PAY 12M/1Y RPI 1.8190% REAL RATE GBP 50.0 M MAT: 11-MAY-2056</t>
  </si>
  <si>
    <t>XS0256088872</t>
  </si>
  <si>
    <t>50 YR FLOATING RATE DEBT: PAY 12M/1Y RPI 1.8230% REAL RATE GBP 150.0 M MAT: 26-MAY-2056</t>
  </si>
  <si>
    <t>XS0259916566</t>
  </si>
  <si>
    <t>50 YR FLOATING RATE DEBT: PAY 12M/1Y RPI 1.7970% REAL RATE GBP 50.0 M MAT: 14-JUL-2056</t>
  </si>
  <si>
    <t>XS0262648982</t>
  </si>
  <si>
    <t>50 YR FLOATING RATE DEBT: PAY 12M/1Y RPI 1.6574% REAL RATE GBP 50.0 M MAT: 28-JUL-2056</t>
  </si>
  <si>
    <t>XS0262082117</t>
  </si>
  <si>
    <t>50 YR FLOATING RATE DEBT: PAY 12M/1Y RPI 1.5842% REAL RATE GBP 25.0 M MAT: 28-JUL-2056</t>
  </si>
  <si>
    <t>XS0293881727</t>
  </si>
  <si>
    <t>31.8 YR FLOATING RATE DEBT: PAY 12M/1Y RPI 1.8055% REAL RATE GBP 50.0 M MAT: 26-JAN-2039</t>
  </si>
  <si>
    <t>XS0294583322</t>
  </si>
  <si>
    <t>32.1 YR FLOATING RATE DEBT: PAY 12M/1Y RPI 1.8575% REAL RATE GBP 150.0 M MAT: 02-MAY-2039</t>
  </si>
  <si>
    <t>XS0406490424</t>
  </si>
  <si>
    <t>50 YR FLOATING RATE DEBT: PAY 12M/1Y RPI 3.6120% REAL RATE GBP 8.9 M MAT: 23-DEC-2058</t>
  </si>
  <si>
    <t>XS0443790158</t>
  </si>
  <si>
    <t>30 YR FLOATING RATE DEBT: PAY 12M/1Y RPI 2.4860% REAL RATE GBP 25.0 M MAT: 05-AUG-2039</t>
  </si>
  <si>
    <t>XS0885297076</t>
  </si>
  <si>
    <t>24 YR FLOATING RATE DEBT: PAY 12M/1Y RPI 1.3740% REAL RATE GBP 30.0 M MAT: 05-FEB-2037</t>
  </si>
  <si>
    <t>XS0965111676</t>
  </si>
  <si>
    <t>25 YR FLOATING RATE DEBT: PAY 12M/1Y RPI 1.2080% REAL RATE GBP 40.0 M MAT: 27-AUG-2038</t>
  </si>
  <si>
    <t>XS1917879782</t>
  </si>
  <si>
    <t>15 YR FIXED RATE DEBT: PAY 3.13500% NOK 1000.0 M MAT: 05-DEC-2033</t>
  </si>
  <si>
    <t>100% Fixed - 2.7935% ;0% Floating - 0%</t>
  </si>
  <si>
    <t>XS1940860916</t>
  </si>
  <si>
    <t>9 YR FIXED RATE DEBT: PAY 4.00000% GBP 50.0 M MAT: 08-JUN-2027</t>
  </si>
  <si>
    <t>XS1884008928</t>
  </si>
  <si>
    <t>16 YR FIXED RATE DEBT: PAY 2.75000% GBP 250.0 M MAT: 06-FEB-2035</t>
  </si>
  <si>
    <t>XS1952078365</t>
  </si>
  <si>
    <t>20 YR FIXED RATE DEBT: PAY 2.03700% EUR 112.5 M MAT: 15-FEB-2039</t>
  </si>
  <si>
    <t>100% Fixed - 2.706% ;0% Floating - 0%</t>
  </si>
  <si>
    <t>XS2058706958</t>
  </si>
  <si>
    <t>15 YR FIXED RATE DEBT: PAY 2.71000% AUD 70.0 M MAT: 04-OCT-2034</t>
  </si>
  <si>
    <t>AUD</t>
  </si>
  <si>
    <t>0% Fixed - 0% ;100% Floating -  +105bp</t>
  </si>
  <si>
    <t>XS2051669633</t>
  </si>
  <si>
    <t>7 YR FIXED RATE DEBT: PAY 1.37500% GBP 300.0 M MAT: 16-SEP-2026</t>
  </si>
  <si>
    <t>XS2051734981</t>
  </si>
  <si>
    <t>19 YR FIXED RATE DEBT: PAY 2.00000% GBP 400.0 M MAT: 16-SEP-2038</t>
  </si>
  <si>
    <t>XS2088750273</t>
  </si>
  <si>
    <t>19 YR FIXED RATE DEBT: PAY 2.00000% GBP 40.0 M MAT: 16-SEP-2038</t>
  </si>
  <si>
    <t>XS2091504170</t>
  </si>
  <si>
    <t>20 YR FIXED RATE DEBT: PAY 3.12000% AUD 82.0 M MAT: 10-DEC-2039</t>
  </si>
  <si>
    <t>100% Fixed - 2.217% ;0% Floating -  0%</t>
  </si>
  <si>
    <t>XS2094038622</t>
  </si>
  <si>
    <t>20 YR FIXED RATE DEBT: PAY 2.22600% GBP 50.0 M MAT: 19-DEC-2039</t>
  </si>
  <si>
    <t>XS2104915033</t>
  </si>
  <si>
    <t>5 YR FIXED RATE DEBT: PAY 0.19000% EUR 500.0 M MAT: 20-JAN-2025</t>
  </si>
  <si>
    <t>100% Fixed - 2.6978% ;0% Floating -  0%</t>
  </si>
  <si>
    <t>XS2107332566</t>
  </si>
  <si>
    <t>8 YR FIXED RATE DEBT: PAY 2.24500% HKD 422.0 M MAT: 24-JAN-2028</t>
  </si>
  <si>
    <t>100% Fixed - 1.384% ;0% Floating -  0%</t>
  </si>
  <si>
    <t>XS2110793044</t>
  </si>
  <si>
    <t>11 YR FIXED RATE DEBT: PAY 2.50000% USD 85.0 M MAT: 29-JAN-2031</t>
  </si>
  <si>
    <t>100% Fixed - 1.577% ;0% Floating -  0%</t>
  </si>
  <si>
    <t>XS2123085958</t>
  </si>
  <si>
    <t>20 YR FIXED RATE DEBT: PAY 1.15100% EUR 100.0 M MAT: 20-FEB-2040</t>
  </si>
  <si>
    <t>0% Fixed - 0% ;100% Floating -  +103bp</t>
  </si>
  <si>
    <t>XS2133403951</t>
  </si>
  <si>
    <t>12 YR FIXED RATE DEBT: PAY 2.02000% AUD 70.0 M MAT: 12-MAR-2032</t>
  </si>
  <si>
    <t>100% Fixed - 1.331% ;0% Floating -  0%</t>
  </si>
  <si>
    <t>XS2157487237</t>
  </si>
  <si>
    <t>20 YR FIXED RATE DEBT: PAY 2.00000% GBP 400.0 M MAT: 17-APR-2040</t>
  </si>
  <si>
    <t>XS2209018741</t>
  </si>
  <si>
    <t>15 YR FIXED RATE DEBT: PAY 2.50000% AUD 55.0 M MAT: 24-JUL-2035</t>
  </si>
  <si>
    <t>100% Fixed - 1.42% ;0% Floating -  0%</t>
  </si>
  <si>
    <t>XS2200513070</t>
  </si>
  <si>
    <t>12 YR FIXED RATE DEBT: PAY 0.82300% EUR 750.0 M MAT: 07-JUL-2032</t>
  </si>
  <si>
    <t>68% Fixed - 1.55% ;32% Floating - 6M Libor +113bp</t>
  </si>
  <si>
    <t>XS2264193819</t>
  </si>
  <si>
    <t>20 YR FIXED RATE DEBT: PAY 0.87200% EUR 200.0 M MAT: 26-NOV-2040</t>
  </si>
  <si>
    <t>0% Fixed - 0% ;100% Floating - 6M Libor +100bp</t>
  </si>
  <si>
    <t>20 YR FIXED RATE DEBT: PAY 0.87200% EUR 300.0 M MAT: 26-NOV-2040</t>
  </si>
  <si>
    <t>100% Fixed - 1.66% ;0% Floating -  0%</t>
  </si>
  <si>
    <t xml:space="preserve"> XS2200513153</t>
  </si>
  <si>
    <t>8 YR FIXED RATE DEBT: PAY 1.12500% GBP 350.0 M MAT: 07-JUL-2028</t>
  </si>
  <si>
    <t>XS2208310271</t>
  </si>
  <si>
    <t>8 YR FIXED RATE DEBT: PAY 1.04450% GBP 100.0 M MAT: 27-JUL-2028</t>
  </si>
  <si>
    <t>XS2221861961</t>
  </si>
  <si>
    <t>20 YR FIXED RATE DEBT: PAY 1.60800% GBP 50.0 M MAT: 24-AUG-2040</t>
  </si>
  <si>
    <t>XS2352294479</t>
  </si>
  <si>
    <t>15 YR FIXED RATE DEBT: PAY 3.35000% AUD 55.0 M MAT: 10-JUN-2036</t>
  </si>
  <si>
    <t>100% Fixed - 2.099% ;0% Floating -  0%</t>
  </si>
  <si>
    <t>CA636273AC82</t>
  </si>
  <si>
    <t>8 YR FIXED RATE DEBT: PAY 2.30100% CAD 850.0 M MAT: 22-JUN-2029</t>
  </si>
  <si>
    <t>65% Fixed - 1.59% ;35% Floating - SONIA +96bp</t>
  </si>
  <si>
    <t>20 YR FIXED RATE DEBT: PAY 0.87200% EUR 40.0 M MAT: 26-NOV-2040</t>
  </si>
  <si>
    <t>0% Fixed - 0% ;100% Floating - SONIA +99bp</t>
  </si>
  <si>
    <t>XS2392458035</t>
  </si>
  <si>
    <t>23 YR FIXED RATE DEBT: PAY 2.92000% AUD 125.0 M MAT: 30-SEP-2044</t>
  </si>
  <si>
    <t>XS2386954650</t>
  </si>
  <si>
    <t>20 YR FIXED RATE DEBT: PAY 1.69000% GBP 50.0 M MAT: 16-SEP-2041</t>
  </si>
  <si>
    <t>19 YR FIXED RATE DEBT: PAY 0.87200% EUR 100.0 M MAT: 26-NOV-2040</t>
  </si>
  <si>
    <t>Identifier (if applicable)</t>
  </si>
  <si>
    <t>Loan type</t>
  </si>
  <si>
    <t>Interest rate / margin spread on reference rate</t>
  </si>
  <si>
    <t>Max loan/Commitment amount</t>
  </si>
  <si>
    <t>Commitment fee</t>
  </si>
  <si>
    <t xml:space="preserve">% </t>
  </si>
  <si>
    <t>GBP / EURO / etc</t>
  </si>
  <si>
    <t>Not a bond.  No ISIN</t>
  </si>
  <si>
    <t>10 YR FIXED RATE DEBT: PAY 1.89700% GBP 300.0 M MAT: 18-NOV-2026</t>
  </si>
  <si>
    <t>10 YR FLOATING RATE DEBT: PAY 6M Libor +70 bp GBP 300.0 M MAT: 06-DEC-2026</t>
  </si>
  <si>
    <t>10 YR FLOATING RATE DEBT: PAY 12M/1Y RPI 1.0000% REAL RATE GBP 100.0 M MAT: 16-JAN-2023</t>
  </si>
  <si>
    <t>18 YR FLOATING RATE DEBT: PAY 12M/1Y RPI GBP 150.0 M MAT: 22-JUL-2033</t>
  </si>
  <si>
    <t>18 YR FLOATING RATE DEBT: PAY 12M/1Y RPI GBP 150.0 M MAT: 04-AUG-2033</t>
  </si>
  <si>
    <t>18 YR FLOATING RATE DEBT: PAY 12M/1Y RPI GBP 300.0 M MAT: 22-DEC-2033</t>
  </si>
  <si>
    <t>18 YR FLOATING RATE DEBT: PAY 12M/1Y RPI GBP 300.0 M MAT: 22-JUN-2034</t>
  </si>
  <si>
    <t>IFRS 16 Right of Use Lease Liability</t>
  </si>
  <si>
    <t>B2.X</t>
  </si>
  <si>
    <t>Total B.</t>
  </si>
  <si>
    <t>Analysis of loans from other group companies (+ve)</t>
  </si>
  <si>
    <t>Identifier (if applicable</t>
  </si>
  <si>
    <t>Max loan</t>
  </si>
  <si>
    <t>On demand</t>
  </si>
  <si>
    <t>National Grid plc</t>
  </si>
  <si>
    <t>Intercompany</t>
  </si>
  <si>
    <t>LIBOR Overnight</t>
  </si>
  <si>
    <t>CX</t>
  </si>
  <si>
    <t>Total C.</t>
  </si>
  <si>
    <t>Analysis of loans to other group companies (-ve)</t>
  </si>
  <si>
    <t>National Grid Holdings One plc</t>
  </si>
  <si>
    <t>DX</t>
  </si>
  <si>
    <t>Total D.</t>
  </si>
  <si>
    <t>Analysis of other amounts due to/(from) group companies per Balance Sheet</t>
  </si>
  <si>
    <t>Start 
date</t>
  </si>
  <si>
    <t>End 
date</t>
  </si>
  <si>
    <t>Name of Counterparty</t>
  </si>
  <si>
    <t>EX</t>
  </si>
  <si>
    <t>Total E.</t>
  </si>
  <si>
    <t>Other financial exposure</t>
  </si>
  <si>
    <t>Start</t>
  </si>
  <si>
    <t>End</t>
  </si>
  <si>
    <t>Name of</t>
  </si>
  <si>
    <t>Amount</t>
  </si>
  <si>
    <t>date</t>
  </si>
  <si>
    <t>Guaranteed</t>
  </si>
  <si>
    <t>FX</t>
  </si>
  <si>
    <t>Total F.</t>
  </si>
  <si>
    <t xml:space="preserve">Pay leg </t>
  </si>
  <si>
    <t>type</t>
  </si>
  <si>
    <t>Rate / margin spread on underlying %</t>
  </si>
  <si>
    <t>Underlying reference rate (if any)</t>
  </si>
  <si>
    <t>Rate / margin spread on underlying</t>
  </si>
  <si>
    <t>S827</t>
  </si>
  <si>
    <t>20 YR SWAP: PAY 6M Libor +110 bp GBP 80.5 M RCV 3.35000% EUR 100.0 M MAT: 27-SEP-2032</t>
  </si>
  <si>
    <t>6m</t>
  </si>
  <si>
    <t/>
  </si>
  <si>
    <t>Libor</t>
  </si>
  <si>
    <t>Societe Generale</t>
  </si>
  <si>
    <t>S835</t>
  </si>
  <si>
    <t>22 YR SWAP: PAY 6M Libor +101 bp GBP 84.0 M RCV 3.21000% EUR 100.0 M MAT: 30-JAN-2035</t>
  </si>
  <si>
    <t>s813</t>
  </si>
  <si>
    <t>15 YR SWAP: PAY 6M Libor +115 bp GBP 20.3 M RCV 3.30000% HKD 250.0 M MAT: 23-SEP-2026</t>
  </si>
  <si>
    <t>Bank of America Merill Lynch</t>
  </si>
  <si>
    <t>S831</t>
  </si>
  <si>
    <t>15 YR SWAP: PAY 6M Libor +98 bp GBP 24.0 M RCV 3.10000% HKD 300.0 M MAT: 13-DEC-2027</t>
  </si>
  <si>
    <t>s836</t>
  </si>
  <si>
    <t>15 YR SWAP: PAY 6M Libor +88 bp GBP 24.6 M RCV 3.25000% HKD 300.0 M MAT: 07-FEB-2028</t>
  </si>
  <si>
    <t>S834</t>
  </si>
  <si>
    <t>12 YR SWAP: PAY 6M Libor +83 bp GBP 134.7 M RCV 4.35000% NOK 1190.0 M MAT: 29-JAN-2025</t>
  </si>
  <si>
    <t>S958</t>
  </si>
  <si>
    <t>15 YR SWAP: PAY 2.79350% GBP 91.2 M RCV 3.13500% NOK 1000.0 M MAT: 05-DEC-2033</t>
  </si>
  <si>
    <t>BNP Paribas</t>
  </si>
  <si>
    <t>S961</t>
  </si>
  <si>
    <t>20 YR SWAP: PAY 2.70600% GBP 98.4 M RCV 2.03700% EUR 112.5 M MAT: 15-FEB-2039</t>
  </si>
  <si>
    <t>HSBC</t>
  </si>
  <si>
    <t>S988</t>
  </si>
  <si>
    <t>15 YR SWAP: PAY 6M Libor +105 bp GBP 38.2 M RCV 2.71000% AUD 70.0 M MAT: 04-OCT-2034</t>
  </si>
  <si>
    <t>Goldman Sachs</t>
  </si>
  <si>
    <t>S989</t>
  </si>
  <si>
    <t>20 YR SWAP: PAY 2.21700% GBP 43.4 M RCV 3.12000% AUD 82.0 M MAT: 10-DEC-2039</t>
  </si>
  <si>
    <t>JP Morgan</t>
  </si>
  <si>
    <t>S991</t>
  </si>
  <si>
    <t>5 YR SWAP: PAY 1.35180% GBP 342.5 M RCV 0.19000% EUR 400.0 M MAT: 20-JAN-2025</t>
  </si>
  <si>
    <t>Morgan Stanley</t>
  </si>
  <si>
    <t>S992</t>
  </si>
  <si>
    <t>5 YR SWAP: PAY 1.34600% GBP 85.8 M RCV 0.19000% EUR 100.0 M MAT: 20-JAN-2025</t>
  </si>
  <si>
    <t>Barclays</t>
  </si>
  <si>
    <t>S993</t>
  </si>
  <si>
    <t>8 YR SWAP: RCV 2.24500% HKD 422.0 M PAY 1.38400% GBP 41.6 M MAT: 24-JAN-2028</t>
  </si>
  <si>
    <t>s994</t>
  </si>
  <si>
    <t>11 YR SWAP: RCV 2.50000% USD 85.0 M PAY 1.57700% GBP 65.2 M MAT: 29-JAN-2031</t>
  </si>
  <si>
    <t>S997</t>
  </si>
  <si>
    <t>20 YR SWAP: PAY 6M Libor +103 bp GBP 83.3 M RCV 1.15100% EUR 100.0 M MAT: 20-FEB-2040</t>
  </si>
  <si>
    <t>S999</t>
  </si>
  <si>
    <t>12 YR SWAP: PAY 1.33100% GBP 36.0 M RCV 2.02000% AUD 70.0 M MAT: 12-MAR-2032</t>
  </si>
  <si>
    <t>Sumitomo Bank</t>
  </si>
  <si>
    <t>S1012</t>
  </si>
  <si>
    <t>15 YR SWAP: PAY 1.41800% GBP 30.6 M RCV 2.50000% AUD 55.0 M MAT: 24-JUL-2035</t>
  </si>
  <si>
    <t>S1007</t>
  </si>
  <si>
    <t>12 YR SWAP: PAY 1.55460% GBP 162.3 M RCV 0.82300% EUR 180.0 M MAT: 07-JUL-2032</t>
  </si>
  <si>
    <t>S1008</t>
  </si>
  <si>
    <t>12 YR SWAP: PAY 1.55510% GBP 162.3 M RCV 0.82300% EUR 180.0 M MAT: 07-JUL-2032</t>
  </si>
  <si>
    <t>S1009</t>
  </si>
  <si>
    <t>12 YR SWAP: PAY 1.55460% GBP 135.3 M RCV 0.82300% EUR 150.0 M MAT: 07-JUL-2032</t>
  </si>
  <si>
    <t>S1010</t>
  </si>
  <si>
    <t>12 YR SWAP: PAY 6M Libor +113 bp GBP 216.4 M RCV 0.82300% EUR 240.0 M MAT: 07-JUL-2032</t>
  </si>
  <si>
    <t>S1022</t>
  </si>
  <si>
    <t>20 YR SWAP: PAY 6M Libor +100 bp GBP 179.1 M RCV 0.87200% EUR 200.0 M MAT: 26-NOV-2040</t>
  </si>
  <si>
    <t>S1023</t>
  </si>
  <si>
    <t>20.0 YR SWAP: PAY 1.65715% GBP 90.6 M RCV 0.87200% EUR 100.0 M MAT: 26-NOV-2040</t>
  </si>
  <si>
    <t>S1024</t>
  </si>
  <si>
    <t>20.0 YR SWAP: PAY 1.66445% GBP 90.6 M RCV 0.87200% EUR 100.0 M MAT: 26-NOV-2040</t>
  </si>
  <si>
    <t>S1025</t>
  </si>
  <si>
    <t>20.0 YR SWAP: PAY 1.66815% GBP 90.9 M RCV 0.87200% EUR 100.0 M MAT: 26-NOV-2040</t>
  </si>
  <si>
    <t>S1049</t>
  </si>
  <si>
    <t>15 YR SWAP: PAY 2.09900% GBP 30.0 M RCV 3.35000% AUD 55.0 M MAT: 10-JUN-2036</t>
  </si>
  <si>
    <t>S1036</t>
  </si>
  <si>
    <t>11 YR SWAP: PAY 1D SONIA +140 bp GBP 216.4 M RCV 0.82300% EUR 240.0 M MAT: 07-JUL-2032</t>
  </si>
  <si>
    <t>SONIA</t>
  </si>
  <si>
    <t>S1050</t>
  </si>
  <si>
    <t>6.5 YR SWAP: PAY 1D SONIA +114 bp GBP 24.6 M RCV 3.25000% HKD 300.0 M MAT: 07-FEB-2028</t>
  </si>
  <si>
    <t>S1053</t>
  </si>
  <si>
    <t>13.0 YR SWAP: PAY 1D SONIA +132 bp GBP 38.2 M RCV 2.71000% AUD 70.0 M MAT: 04-OCT-2034</t>
  </si>
  <si>
    <t>S1060</t>
  </si>
  <si>
    <t>8 YR SWAP: PAY 1D SONIA +96 bp GBP 174.9 M RCV 2.30100% CAD 300.0 M MAT: 22-JUN-2029</t>
  </si>
  <si>
    <t>S1061</t>
  </si>
  <si>
    <t>8 YR SWAP: PAY 1.59395% GBP 145.8 M RCV 2.30100% CAD 250.0 M MAT: 22-JUN-2029</t>
  </si>
  <si>
    <t>Toronto Dominion Bank</t>
  </si>
  <si>
    <t>S1062</t>
  </si>
  <si>
    <t>8 YR SWAP: PAY 1.61045% GBP 175.1 M RCV 2.30100% CAD 300.0 M MAT: 22-JUN-2029</t>
  </si>
  <si>
    <t>S1088</t>
  </si>
  <si>
    <t>18.5 YR SWAP: PAY 1D SONIA +130 bp GBP 83.3 M RCV 1.15100% EUR 100.0 M MAT: 20-FEB-2040</t>
  </si>
  <si>
    <t>S1089</t>
  </si>
  <si>
    <t>19 YR SWAP: PAY 1D SONIA +127 bp GBP 179.1 M RCV 0.87200% EUR 200.0 M MAT: 26-NOV-2040</t>
  </si>
  <si>
    <t>S1090</t>
  </si>
  <si>
    <t>19.3 YR SWAP: PAY 1D SONIA +99 bp GBP 34.2 M RCV 0.87200% EUR 40.0 M MAT: 26-NOV-2040</t>
  </si>
  <si>
    <t>S1113</t>
  </si>
  <si>
    <t>11 YR SWAP: PAY 1D SONIA +137 bp GBP 80.5 M RCV 3.35000% EUR 100.0 M MAT: 27-SEP-2032</t>
  </si>
  <si>
    <t>S1115</t>
  </si>
  <si>
    <t>13 YR SWAP: PAY 1D SONIA +129 bp GBP 84.0 M RCV 3.21000% EUR 100.0 M MAT: 30-JAN-2035</t>
  </si>
  <si>
    <t>S1101</t>
  </si>
  <si>
    <t>5 YR SWAP: PAY 1D SONIA +141 bp GBP 20.3 M RCV 3.30000% HKD 250.0 M MAT: 23-SEP-2026</t>
  </si>
  <si>
    <t>S1102</t>
  </si>
  <si>
    <t>6 YR SWAP: PAY 1D SONIA +124 bp GBP 24.0 M RCV 3.10000% HKD 300.0 M MAT: 13-DEC-2027</t>
  </si>
  <si>
    <t>S1104</t>
  </si>
  <si>
    <t>3.0 YR SWAP: PAY 1D SONIA +111 bp GBP 134.7 M RCV 4.35000% NOK 1190.0 M MAT: 29-JAN-2025</t>
  </si>
  <si>
    <t>S1123</t>
  </si>
  <si>
    <t>23 YR SWAP: RCV 2.92000% AUD 125.0 M PAY 1D SONIA +99 bp GBP 66.6 M MAT: 30-SEP-2044</t>
  </si>
  <si>
    <t>S1131</t>
  </si>
  <si>
    <t>19 YR SWAP: RCV 0.87200% EUR 100.0 M PAY 1.49440% GBP 84.4 M MAT: 26-NOV-2040</t>
  </si>
  <si>
    <t>S1099</t>
  </si>
  <si>
    <t>5.5 YR SWAP: PAY 6M Libor +115 bp GBP 20.3 M RCV 3.30000% HKD 250.0 M MAT: 23-SEP-2026</t>
  </si>
  <si>
    <t>S1100</t>
  </si>
  <si>
    <t>6.5 YR SWAP: PAY 6M Libor +98 bp GBP 24.0 M RCV 3.10000% HKD 300.0 M MAT: 13-DEC-2027</t>
  </si>
  <si>
    <t>S1098</t>
  </si>
  <si>
    <t>4 YR SWAP: PAY 6M Libor +83 bp GBP 134.7 M RCV 4.35000% NOK 1190.0 M MAT: 29-JAN-2025</t>
  </si>
  <si>
    <t>Additional commentary on individual instruments (as of latest reporting date, using ref to lines above)</t>
  </si>
  <si>
    <t>Trade early terminated on 27/09/21 (original maturity 27/09/32)</t>
  </si>
  <si>
    <t>Trade early terminated on 31/01/22 (original maturity 30/01/35)</t>
  </si>
  <si>
    <t>Trade early terminated on 26/07/21 (original maturity 23/09/26)</t>
  </si>
  <si>
    <t>Trade early terminated on 26/07/21 (original maturity 13/12/27)</t>
  </si>
  <si>
    <t>Trade early terminated on 09/08/21 (original maturity 07/02/28)</t>
  </si>
  <si>
    <t>Trade early terminated on 26/07/21 (original maturity 29/01/25)</t>
  </si>
  <si>
    <t>Trade early terminated on 05/10/21 (original maturity 04/10/34)</t>
  </si>
  <si>
    <t>Trade early terminated on 20/08/21 (original maturity 20/02/40)</t>
  </si>
  <si>
    <t>Trade early terminated on 07/07/21 (original maturity 07/07/32)</t>
  </si>
  <si>
    <t>Trade early terminated on 23/09/21 (original maturity 23/09/26)</t>
  </si>
  <si>
    <t>Trade early terminated on 13/12/21 (original maturity 13/12/27)</t>
  </si>
  <si>
    <t>Trade early terminated on 31/01/22 (original maturity 29/01/25)</t>
  </si>
  <si>
    <t>S828</t>
  </si>
  <si>
    <t>20 YR SWAP: PAY 3.87750% GBP RCV 6M Libor +110 bp GBP 45.5 M MAT: 27-SEP-2032</t>
  </si>
  <si>
    <t>S212</t>
  </si>
  <si>
    <t>18.5 YR SWAP: PAY 6M Libor +117 bp GBP RCV 5.87500% GBP 20.0 M MAT: 02-FEB-2024</t>
  </si>
  <si>
    <t>s726</t>
  </si>
  <si>
    <t>13.7 YR SWAP: PAY 6M Libor +172 bp GBP RCV 5.87500% GBP 75.0 M MAT: 02-FEB-2024</t>
  </si>
  <si>
    <t>MUFG</t>
  </si>
  <si>
    <t>S777</t>
  </si>
  <si>
    <t>11.5 YR SWAP: PAY 5.87500% GBP RCV 6M Libor +176 bp GBP 149.5 M MAT: 02-FEB-2024</t>
  </si>
  <si>
    <t>12m</t>
  </si>
  <si>
    <t>s788</t>
  </si>
  <si>
    <t>13.2 YR SWAP: PAY 6M Libor +244 bp GBP RCV 5.87500% GBP 28.0 M MAT: 02-FEB-2024</t>
  </si>
  <si>
    <t>S041</t>
  </si>
  <si>
    <t>25.2 YR SWAP: PAY 6M Libor +157 bp GBP RCV 6.50000% GBP 15.0 M MAT: 27-JUL-2028</t>
  </si>
  <si>
    <t>S222</t>
  </si>
  <si>
    <t>22.8 YR SWAP: PAY 6M Libor +190 bp GBP RCV 6.50000% GBP 14.0 M MAT: 27-JUL-2028</t>
  </si>
  <si>
    <t>s727</t>
  </si>
  <si>
    <t>18.2 YR SWAP: PAY 6M Libor +226 bp GBP RCV 6.50000% GBP 65.0 M MAT: 27-JUL-2028</t>
  </si>
  <si>
    <t>s728</t>
  </si>
  <si>
    <t>18.2 YR SWAP: PAY 6M Libor +228 bp GBP RCV 6.50000% GBP 60.0 M MAT: 27-JUL-2028</t>
  </si>
  <si>
    <t>S786</t>
  </si>
  <si>
    <t>16 YR SWAP: PAY 6.50000% GBP RCV 6M Libor +226 bp GBP 125.0 M MAT: 27-JUL-2028</t>
  </si>
  <si>
    <t>S189</t>
  </si>
  <si>
    <t>30 YR SWAP: PAY 6M Libor +23 bp GBP RCV 5.00000% GBP 40.0 M MAT: 01-MAR-2035</t>
  </si>
  <si>
    <t>s744</t>
  </si>
  <si>
    <t>24.8 YR SWAP: PAY 6M Libor +87 bp GBP RCV 5.00000% GBP 20.0 M MAT: 01-MAR-2035</t>
  </si>
  <si>
    <t>S805</t>
  </si>
  <si>
    <t>23.8 YR SWAP: PAY 5.00000% GBP RCV 6M Libor +94 bp GBP 40.0 M MAT: 01-MAR-2035</t>
  </si>
  <si>
    <t>S542</t>
  </si>
  <si>
    <t>22.0 YR SWAP: PAY 6M Libor +337 bp GBP RCV 7.37500% GBP 40.0 M MAT: 13-JAN-2031</t>
  </si>
  <si>
    <t>RBC</t>
  </si>
  <si>
    <t>S544</t>
  </si>
  <si>
    <t>22.0 YR SWAP: PAY 6M Libor +348 bp GBP RCV 7.37500% GBP 24.0 M MAT: 13-JAN-2031</t>
  </si>
  <si>
    <t>Lloyds</t>
  </si>
  <si>
    <t>S688</t>
  </si>
  <si>
    <t>20.7 YR SWAP: PAY 6M Libor +311 bp GBP RCV 7.37500% GBP 38.0 M MAT: 13-JAN-2031</t>
  </si>
  <si>
    <t>S715</t>
  </si>
  <si>
    <t>20.7 YR SWAP: PAY 6M Libor +315 bp GBP RCV 7.37500% GBP 38.0 M MAT: 13-JAN-2031</t>
  </si>
  <si>
    <t>S745</t>
  </si>
  <si>
    <t>20.7 YR SWAP: PAY 6M Libor +320 bp GBP RCV 7.37500% GBP 48.0 M MAT: 13-JAN-2031</t>
  </si>
  <si>
    <t>S771</t>
  </si>
  <si>
    <t>18.5 YR SWAP: PAY 7.37500% GBP RCV 6M Libor +310 bp GBP 50.0 M MAT: 13-JAN-2031</t>
  </si>
  <si>
    <t>S872</t>
  </si>
  <si>
    <t>15 YR SWAP: PAY 7.37500% GBP RCV 6M Libor +433 bp GBP 167.6 M MAT: 13-JAN-2031</t>
  </si>
  <si>
    <t>S901</t>
  </si>
  <si>
    <t>16.1 YR SWAP: PAY 7.37500% GBP RCV 6M Libor +501 bp GBP 45.0 M MAT: 13-JAN-2031</t>
  </si>
  <si>
    <t>S902</t>
  </si>
  <si>
    <t>S938</t>
  </si>
  <si>
    <t>11.5 YR SWAP: PAY 6M Libor +155 bp GBP RCV 4.00000% GBP 21.5 M MAT: 08-JUN-2027</t>
  </si>
  <si>
    <t>S944</t>
  </si>
  <si>
    <t>10 YR SWAP: PAY 2.04600% GBP RCV 6M Libor +70 bp GBP 100.0 M MAT: 06-DEC-2026</t>
  </si>
  <si>
    <t>S839</t>
  </si>
  <si>
    <t>12.0 YR SWAP: PAY 3.18000% GBP RCV 6M Libor +83 bp GBP 77.0 M MAT: 29-JAN-2025</t>
  </si>
  <si>
    <t>S986</t>
  </si>
  <si>
    <t>19 YR SWAP: RCV 2.00000% GBP PAY 6M Libor +119 bp GBP 30.0 M MAT: 16-SEP-2038</t>
  </si>
  <si>
    <t>S990</t>
  </si>
  <si>
    <t>18.7 YR SWAP: RCV 2.00000% GBP PAY 6M Libor +96 bp GBP 30.0 M MAT: 16-SEP-2038</t>
  </si>
  <si>
    <t>S998</t>
  </si>
  <si>
    <t>16 YR SWAP: PAY 5.00000% GBP RCV 6M Libor +72 bp GBP 7.0 M MAT: 01-MAR-2035</t>
  </si>
  <si>
    <t>S1004</t>
  </si>
  <si>
    <t>20 YR SWAP: RCV 2.00000% GBP PAY 6M Libor +139 bp GBP 25.0 M MAT: 17-APR-2040</t>
  </si>
  <si>
    <t>S1005</t>
  </si>
  <si>
    <t>6.2 YR SWAP: RCV 1.37500% GBP PAY 6M Libor +109 bp GBP 35.0 M MAT: 16-SEP-2026</t>
  </si>
  <si>
    <t>S1006</t>
  </si>
  <si>
    <t>S1016</t>
  </si>
  <si>
    <t>11 YR SWAP: PAY 7.37500% GBP RCV 6M Libor +304 bp GBP 19.0 M MAT: 13-JAN-2031</t>
  </si>
  <si>
    <t>S1017</t>
  </si>
  <si>
    <t>7 YR SWAP: PAY 6M Libor +136 bp GBP RCV 4.00000% GBP 50.0 M MAT: 08-JUN-2027</t>
  </si>
  <si>
    <t>S1018</t>
  </si>
  <si>
    <t>7 YR SWAP: PAY 6M Libor +135 bp GBP RCV 4.00000% GBP 43.0 M MAT: 08-JUN-2027</t>
  </si>
  <si>
    <t>S1019</t>
  </si>
  <si>
    <t>7 YR SWAP: PAY 6M Libor +158 bp GBP RCV 4.00000% GBP 10.8 M MAT: 08-JUN-2027</t>
  </si>
  <si>
    <t>S1020</t>
  </si>
  <si>
    <t>7 YR SWAP: PAY 6M Libor +164 bp GBP RCV 4.00000% GBP 21.5 M MAT: 08-JUN-2027</t>
  </si>
  <si>
    <t>S1001</t>
  </si>
  <si>
    <t>14.8 YR SWAP: RCV 2.75000% GBP PAY 6M Libor +209 bp GBP 25.0 M MAT: 06-FEB-2035</t>
  </si>
  <si>
    <t>S1000</t>
  </si>
  <si>
    <t>14.8 YR SWAP: RCV 2.75000% GBP PAY 6M Libor +207 bp GBP 25.0 M MAT: 06-FEB-2035</t>
  </si>
  <si>
    <t>S1002</t>
  </si>
  <si>
    <t>18.4 YR SWAP: RCV 2.00000% GBP PAY 6M Libor +133 bp GBP 25.0 M MAT: 16-SEP-2038</t>
  </si>
  <si>
    <t>S1003</t>
  </si>
  <si>
    <t>18.4 YR SWAP: RCV 2.00000% GBP PAY 6M Libor +132 bp GBP 25.0 M MAT: 16-SEP-2038</t>
  </si>
  <si>
    <t>S1011</t>
  </si>
  <si>
    <t>8 YR SWAP: RCV 1.04450% GBP PAY 6M Libor +76 bp GBP 100.0 M MAT: 27-JUL-2028</t>
  </si>
  <si>
    <t>S1021</t>
  </si>
  <si>
    <t>14.5 YR SWAP: PAY 4.01600% GBP RCV 6M Libor +101 bp GBP 48.0 M MAT: 30-JAN-2035</t>
  </si>
  <si>
    <t>S1037</t>
  </si>
  <si>
    <t>14 YR SWAP: RCV 2.75000% GBP PAY 1D SONIA +236 bp GBP 25.0 M MAT: 06-FEB-2035</t>
  </si>
  <si>
    <t>S1038</t>
  </si>
  <si>
    <t>14 YR SWAP: RCV 2.75000% GBP PAY 1D SONIA +235 bp GBP 25.0 M MAT: 06-FEB-2035</t>
  </si>
  <si>
    <t>S1039</t>
  </si>
  <si>
    <t>19 YR SWAP: RCV 2.00000% GBP PAY 1D SONIA +166 bp GBP 25.0 M MAT: 17-APR-2040</t>
  </si>
  <si>
    <t>S1042</t>
  </si>
  <si>
    <t>6 YR SWAP: PAY 1D SONIA +180 bp GBP RCV 4.00000% GBP 21.5 M MAT: 08-JUN-2027</t>
  </si>
  <si>
    <t>S1043</t>
  </si>
  <si>
    <t>6 YR SWAP: PAY 1D SONIA +161 bp GBP RCV 4.00000% GBP 15.0 M MAT: 08-JUN-2027</t>
  </si>
  <si>
    <t>S1044</t>
  </si>
  <si>
    <t>6 YR SWAP: PAY 1D SONIA +159 bp GBP RCV 4.00000% GBP 43.0 M MAT: 08-JUN-2027</t>
  </si>
  <si>
    <t>S1045</t>
  </si>
  <si>
    <t>6 YR SWAP: PAY 1D SONIA +182 bp GBP RCV 4.00000% GBP 10.8 M MAT: 08-JUN-2027</t>
  </si>
  <si>
    <t>S1046</t>
  </si>
  <si>
    <t>6 YR SWAP: PAY 1D SONIA +189 bp GBP RCV 4.00000% GBP 21.5 M MAT: 08-JUN-2027</t>
  </si>
  <si>
    <t>S1047</t>
  </si>
  <si>
    <t>5 YR SWAP: RCV 1.37500% GBP PAY 1D SONIA +135 bp GBP 35.0 M MAT: 16-SEP-2026</t>
  </si>
  <si>
    <t>S1048</t>
  </si>
  <si>
    <t>S1054</t>
  </si>
  <si>
    <t>17 YR SWAP: RCV 2.00000% GBP PAY 1D SONIA +147 bp GBP 30.0 M MAT: 16-SEP-2038</t>
  </si>
  <si>
    <t>S1055</t>
  </si>
  <si>
    <t>17 YR SWAP: RCV 2.00000% GBP PAY 1D SONIA +124 bp GBP 30.0 M MAT: 16-SEP-2038</t>
  </si>
  <si>
    <t>S1056</t>
  </si>
  <si>
    <t>17 YR SWAP: RCV 2.00000% GBP PAY 1D SONIA +160 bp GBP 25.0 M MAT: 16-SEP-2038</t>
  </si>
  <si>
    <t>S1057</t>
  </si>
  <si>
    <t>S1074</t>
  </si>
  <si>
    <t>2.5 YR SWAP: PAY 1D SONIA +141 bp GBP RCV 5.87500% GBP 20.0 M MAT: 02-FEB-2024</t>
  </si>
  <si>
    <t>S1075</t>
  </si>
  <si>
    <t>2.5 YR SWAP: PAY 1D SONIA +196 bp GBP RCV 5.87500% GBP 75.0 M MAT: 02-FEB-2024</t>
  </si>
  <si>
    <t>S1076</t>
  </si>
  <si>
    <t>3 YR SWAP: PAY 5.87500% GBP RCV 1D SONIA +199 bp GBP 40.0 M MAT: 02-FEB-2024</t>
  </si>
  <si>
    <t>S1077</t>
  </si>
  <si>
    <t>2.5 YR SWAP: PAY 1D SONIA +268 bp GBP RCV 5.87500% GBP 28.0 M MAT: 02-FEB-2024</t>
  </si>
  <si>
    <t>S1125</t>
  </si>
  <si>
    <t>4.5 YR SWAP: PAY 2.07600% GBP RCV 1D SONIA +100 bp GBP 100.0 M MAT: 06-DEC-2026</t>
  </si>
  <si>
    <t>S1124</t>
  </si>
  <si>
    <t>7 YR SWAP: RCV 1.04450% GBP PAY 1D SONIA +104 bp GBP 100.0 M MAT: 27-JUL-2028</t>
  </si>
  <si>
    <t>S1065</t>
  </si>
  <si>
    <t>7 YR SWAP: PAY 1D SONIA +184 bp GBP RCV 6.50000% GBP 15.0 M MAT: 27-JUL-2028</t>
  </si>
  <si>
    <t>S1066</t>
  </si>
  <si>
    <t>7 YR SWAP: PAY 1D SONIA +217 bp GBP RCV 6.50000% GBP 14.0 M MAT: 27-JUL-2028</t>
  </si>
  <si>
    <t>S1067</t>
  </si>
  <si>
    <t>7 YR SWAP: PAY 1D SONIA +252 bp GBP RCV 6.50000% GBP 65.0 M MAT: 27-JUL-2028</t>
  </si>
  <si>
    <t>S1068</t>
  </si>
  <si>
    <t>7 YR SWAP: PAY 1D SONIA +254 bp GBP RCV 6.50000% GBP 40.0 M MAT: 27-JUL-2028</t>
  </si>
  <si>
    <t>S1069</t>
  </si>
  <si>
    <t>7 YR SWAP: PAY 6.50000% GBP RCV 1D SONIA +252 bp GBP 91.0 M MAT: 27-JUL-2028</t>
  </si>
  <si>
    <t>S1070</t>
  </si>
  <si>
    <t>13.5 YR SWAP: PAY 1D SONIA +50 bp GBP RCV 5.00000% GBP 40.0 M MAT: 01-MAR-2035</t>
  </si>
  <si>
    <t>S1071</t>
  </si>
  <si>
    <t>13.5 YR SWAP: PAY 1D SONIA +114 bp GBP RCV 5.00000% GBP 20.0 M MAT: 01-MAR-2035</t>
  </si>
  <si>
    <t>S1072</t>
  </si>
  <si>
    <t>14 YR SWAP: PAY 5.00000% GBP RCV 1D SONIA +121 bp GBP 40.0 M MAT: 01-MAR-2035</t>
  </si>
  <si>
    <t>S1073</t>
  </si>
  <si>
    <t>14 YR SWAP: PAY 5.00000% GBP RCV 1D SONIA +99 bp GBP 7.0 M MAT: 01-MAR-2035</t>
  </si>
  <si>
    <t>S1078</t>
  </si>
  <si>
    <t>9.5 YR SWAP: PAY 1D SONIA +364 bp GBP RCV 7.37500% GBP 40.0 M MAT: 13-JAN-2031</t>
  </si>
  <si>
    <t>S1079</t>
  </si>
  <si>
    <t>9.5 YR SWAP: PAY 1D SONIA +374 bp GBP RCV 7.37500% GBP 24.0 M MAT: 13-JAN-2031</t>
  </si>
  <si>
    <t>S1080</t>
  </si>
  <si>
    <t>9.5 YR SWAP: PAY 1D SONIA +338 bp GBP RCV 7.37500% GBP 38.0 M MAT: 13-JAN-2031</t>
  </si>
  <si>
    <t>S1081</t>
  </si>
  <si>
    <t>9.5 YR SWAP: PAY 1D SONIA +342 bp GBP RCV 7.37500% GBP 38.0 M MAT: 13-JAN-2031</t>
  </si>
  <si>
    <t>S1082</t>
  </si>
  <si>
    <t>9.5 YR SWAP: PAY 1D SONIA +346 bp GBP RCV 7.37500% GBP 48.0 M MAT: 13-JAN-2031</t>
  </si>
  <si>
    <t>S1083</t>
  </si>
  <si>
    <t>10 YR SWAP: PAY 7.37500% GBP RCV 1D SONIA +336 bp GBP 15.0 M MAT: 13-JAN-2031</t>
  </si>
  <si>
    <t>S1084</t>
  </si>
  <si>
    <t>10 YR SWAP: PAY 7.37500% GBP RCV 1D SONIA +459 bp GBP 63.0 M MAT: 13-JAN-2031</t>
  </si>
  <si>
    <t>S1085</t>
  </si>
  <si>
    <t>10 YR SWAP: PAY 7.37500% GBP RCV 1D SONIA +527 bp GBP 45.0 M MAT: 13-JAN-2031</t>
  </si>
  <si>
    <t>S1086</t>
  </si>
  <si>
    <t>S1087</t>
  </si>
  <si>
    <t>10 YR SWAP: PAY 7.37500% GBP RCV 1D SONIA +331 bp GBP 19.0 M MAT: 13-JAN-2031</t>
  </si>
  <si>
    <t>S1114</t>
  </si>
  <si>
    <t>11 YR SWAP: PAY 3.87750% GBP RCV 1D SONIA +137 bp GBP 45.5 M MAT: 27-SEP-2032</t>
  </si>
  <si>
    <t>S1116</t>
  </si>
  <si>
    <t>13 YR SWAP: PAY 4.01600% GBP RCV 1D SONIA +129 bp GBP 48.0 M MAT: 30-JAN-2035</t>
  </si>
  <si>
    <t>S1103</t>
  </si>
  <si>
    <t>3.0 YR SWAP: PAY 3.18000% GBP RCV 1D SONIA +111 bp GBP 77.0 M MAT: 29-JAN-2025</t>
  </si>
  <si>
    <t>H9</t>
  </si>
  <si>
    <t>Trade early terminated on 19/03/19 (original maturity 02/02/24)</t>
  </si>
  <si>
    <t>H10</t>
  </si>
  <si>
    <t>H12</t>
  </si>
  <si>
    <t>Trade early terminated on 25/03/19 (original maturity 02/02/24)</t>
  </si>
  <si>
    <t>H13</t>
  </si>
  <si>
    <t>H14</t>
  </si>
  <si>
    <t>H15</t>
  </si>
  <si>
    <t>H18</t>
  </si>
  <si>
    <t>H20</t>
  </si>
  <si>
    <t>H21</t>
  </si>
  <si>
    <t>H25</t>
  </si>
  <si>
    <t>H26</t>
  </si>
  <si>
    <t>H27</t>
  </si>
  <si>
    <t>H28</t>
  </si>
  <si>
    <t>H29</t>
  </si>
  <si>
    <t>H30</t>
  </si>
  <si>
    <t>H31</t>
  </si>
  <si>
    <t>H35</t>
  </si>
  <si>
    <t>Trade early terminated on 19/03/19 (original maturity 27/07/28)</t>
  </si>
  <si>
    <t>H36</t>
  </si>
  <si>
    <t>H37</t>
  </si>
  <si>
    <t>H39</t>
  </si>
  <si>
    <t>H41</t>
  </si>
  <si>
    <t>Trade early terminated on 25/03/19 (original maturity 27/07/28)</t>
  </si>
  <si>
    <t>H46</t>
  </si>
  <si>
    <t>H47</t>
  </si>
  <si>
    <t>Trade early terminated on 25/02/20 (original maturity 27/07/28)</t>
  </si>
  <si>
    <t>H48</t>
  </si>
  <si>
    <t>H49</t>
  </si>
  <si>
    <t>H50</t>
  </si>
  <si>
    <t>H55</t>
  </si>
  <si>
    <t>Trade early terminated on 28/02/20 (original maturity 01/03/35)</t>
  </si>
  <si>
    <t>H56</t>
  </si>
  <si>
    <t>Trade early terminated on 25/03/19 (original maturity 01/03/35)</t>
  </si>
  <si>
    <t>H63</t>
  </si>
  <si>
    <t>Trade early terminated on 04/11/19 (original maturity 13/01/31)</t>
  </si>
  <si>
    <t>H66</t>
  </si>
  <si>
    <t>H75</t>
  </si>
  <si>
    <t>H78</t>
  </si>
  <si>
    <t>Trade early terminated on 25/03/19 (original maturity 13/01/31)</t>
  </si>
  <si>
    <t>H87</t>
  </si>
  <si>
    <t>Trade early terminated on 10/09/19 (original maturity 06/12/26)</t>
  </si>
  <si>
    <t>H88</t>
  </si>
  <si>
    <t>H90</t>
  </si>
  <si>
    <t>Trade early terminated on 24/02/20 (original maturity 02/02/24)</t>
  </si>
  <si>
    <t>H91</t>
  </si>
  <si>
    <t>Trade early terminated on 25/02/20 (original maturity 02/02/24)</t>
  </si>
  <si>
    <t>H92</t>
  </si>
  <si>
    <t>H93</t>
  </si>
  <si>
    <t>H94</t>
  </si>
  <si>
    <t>H95</t>
  </si>
  <si>
    <t>H96</t>
  </si>
  <si>
    <t>H97</t>
  </si>
  <si>
    <t>H98</t>
  </si>
  <si>
    <t>H8</t>
  </si>
  <si>
    <t>Trade early terminated on 03/06/20 (original maturity 30/01/35)</t>
  </si>
  <si>
    <t>H7</t>
  </si>
  <si>
    <t>H42</t>
  </si>
  <si>
    <t>Trade early terminated on 03/06/20 (original maturity 27/07/28)</t>
  </si>
  <si>
    <t>H64</t>
  </si>
  <si>
    <t>Trade early terminated on 03/06/20 (original maturity 13/01/31)</t>
  </si>
  <si>
    <t>H69</t>
  </si>
  <si>
    <t>H71</t>
  </si>
  <si>
    <t>H58</t>
  </si>
  <si>
    <t>H61</t>
  </si>
  <si>
    <t>H72</t>
  </si>
  <si>
    <t>H73</t>
  </si>
  <si>
    <t>H81</t>
  </si>
  <si>
    <t>Trade early terminated on 13/10/20 (original maturity 08/06/27)</t>
  </si>
  <si>
    <t>H6</t>
  </si>
  <si>
    <t>Trade early terminated on 02/10/20 (original maturity 30/01/35)</t>
  </si>
  <si>
    <t>H79</t>
  </si>
  <si>
    <t>Trade early terminated on 02/10/20 (original maturity 08/06/27)</t>
  </si>
  <si>
    <t>H80</t>
  </si>
  <si>
    <t>H83</t>
  </si>
  <si>
    <t>H85</t>
  </si>
  <si>
    <t>Trade early terminated on 01/09/21 (original maturity 01/03/35)</t>
  </si>
  <si>
    <t>Trade early terminated on 18/10/21 (original maturity 17/04/40)</t>
  </si>
  <si>
    <t>Trade early terminated on 16/09/21 (original maturity 16/09/26)</t>
  </si>
  <si>
    <t>Trade early terminated on 13/07/21 (original maturity 13/01/31)</t>
  </si>
  <si>
    <t>Trade early terminated on 08/06/21 (original maturity 08/06/27)</t>
  </si>
  <si>
    <t>Trade early terminated on 06/08/21 (original maturity 06/02/35)</t>
  </si>
  <si>
    <t>Trade early terminated on 16/09/21 (original maturity 16/09/38)</t>
  </si>
  <si>
    <t>Trade early terminated on 02/08/21 (original maturity 02/02/24)</t>
  </si>
  <si>
    <t>Trade early terminated on 27/07/21 (original maturity 27/07/28)</t>
  </si>
  <si>
    <t>Trade early terminated on 06/06/22 (original maturity 06/12/26)</t>
  </si>
  <si>
    <t>LPI004</t>
  </si>
  <si>
    <t>45 YR SWAP: PAY 12M/1Y RPI 1.8230% REAL RATE GBP RCV 12M/1Y RPI 1.8230% REAL RATE GBP 150.0 M MAT: 26-MAY-2056</t>
  </si>
  <si>
    <t>LPI003</t>
  </si>
  <si>
    <t>28 YR SWAP: PAY 12M/1Y RPI 1.8575% REAL RATE GBP RCV 12M/1Y RPI 1.8575% REAL RATE GBP 150.0 M MAT: 02-MAY-2039</t>
  </si>
  <si>
    <t>LPI006</t>
  </si>
  <si>
    <t>37 YR SWAP: PAY 12M/1Y RPI 1.6298% REAL RATE GBP RCV 12M/1Y RPI 1.6298% REAL RATE GBP 100.0 M MAT: 10-AUG-2048</t>
  </si>
  <si>
    <t>LPI005</t>
  </si>
  <si>
    <t>37 YR SWAP: PAY 12M/1Y RPI 1.5522% REAL RATE GBP RCV 12M/1Y RPI 1.5522% REAL RATE GBP 100.0 M MAT: 14-AUG-2048</t>
  </si>
  <si>
    <t>I1</t>
  </si>
  <si>
    <t>I2</t>
  </si>
  <si>
    <t>I3</t>
  </si>
  <si>
    <t>I6</t>
  </si>
  <si>
    <t>I7</t>
  </si>
  <si>
    <t>Rate</t>
  </si>
  <si>
    <t>Exchange rate</t>
  </si>
  <si>
    <t>Receive : Pay</t>
  </si>
  <si>
    <t xml:space="preserve">         </t>
  </si>
  <si>
    <t>Net Cross Currency Swaps</t>
  </si>
  <si>
    <t>Net Interest and Inflation Rate Swaps</t>
  </si>
  <si>
    <t>Bank Fees</t>
  </si>
  <si>
    <t>Collateral</t>
  </si>
  <si>
    <t>Transition Adjustment</t>
  </si>
  <si>
    <t>Facility Fees</t>
  </si>
  <si>
    <t>Cash and Investments</t>
  </si>
  <si>
    <t>Tax Income</t>
  </si>
  <si>
    <t>CP</t>
  </si>
  <si>
    <t>Commerical Business</t>
  </si>
  <si>
    <t>Swap Termination Fee Amortisation</t>
  </si>
  <si>
    <t>Collateral income</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</si>
  <si>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</si>
  <si>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</si>
  <si>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</si>
  <si>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Unamortised Issue Costs</t>
  </si>
  <si>
    <t>Fixed asset investments not readily convertible to cash</t>
  </si>
  <si>
    <t>Preference shares</t>
  </si>
  <si>
    <t>Long term loans (Not for benefit of regulated business or distribution in nature)</t>
  </si>
  <si>
    <t>1. Fair value adjustments</t>
  </si>
  <si>
    <t>2. Accrued interest</t>
  </si>
  <si>
    <t>3. Derivatives - other than cross currency swaps</t>
  </si>
  <si>
    <t>4. Rounding</t>
  </si>
  <si>
    <t>5. IFRS 16 Right of Use Lease Liability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</si>
  <si>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</si>
  <si>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</si>
  <si>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</si>
  <si>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</si>
  <si>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</si>
  <si>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</si>
  <si>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</si>
  <si>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</si>
  <si>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</si>
  <si>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</si>
  <si>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</si>
  <si>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</si>
  <si>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</si>
  <si>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</si>
  <si>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</si>
  <si>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</si>
  <si>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</si>
  <si>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</si>
  <si>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</si>
  <si>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</si>
  <si>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</si>
  <si>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</si>
  <si>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</si>
  <si>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</si>
  <si>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</si>
  <si>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</si>
  <si>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</si>
  <si>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</si>
  <si>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</si>
  <si>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</si>
  <si>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</si>
  <si>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</si>
  <si>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</si>
  <si>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</si>
  <si>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</si>
  <si>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</si>
  <si>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</si>
  <si>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</si>
  <si>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</si>
  <si>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</si>
  <si>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</si>
  <si>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</si>
  <si>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</si>
  <si>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</si>
  <si>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</si>
  <si>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</si>
  <si>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</si>
  <si>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</si>
  <si>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</si>
  <si>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</si>
  <si>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</si>
  <si>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</si>
  <si>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</si>
  <si>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</si>
  <si>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</si>
  <si>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</si>
  <si>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</si>
  <si>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</si>
  <si>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</si>
  <si>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</si>
  <si>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</si>
  <si>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</si>
  <si>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</si>
  <si>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</si>
  <si>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</si>
  <si>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</si>
  <si>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</si>
  <si>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</si>
  <si>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</si>
  <si>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</si>
  <si>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</si>
  <si>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</si>
  <si>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</si>
  <si>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</si>
  <si>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</si>
  <si>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</si>
  <si>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</si>
  <si>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</si>
  <si>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</si>
  <si>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</si>
  <si>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</si>
  <si>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</si>
  <si>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</si>
  <si>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</si>
  <si>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</si>
  <si>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</si>
  <si>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</si>
  <si>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</si>
  <si>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</si>
  <si>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</si>
  <si>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</si>
  <si>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</si>
  <si>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</si>
  <si>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</si>
  <si>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</si>
  <si>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</si>
  <si>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</si>
  <si>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</si>
  <si>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</si>
  <si>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</si>
  <si>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</si>
  <si>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</si>
  <si>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</si>
  <si>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</si>
  <si>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</si>
  <si>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</si>
  <si>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</si>
  <si>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</si>
  <si>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</si>
  <si>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</si>
  <si>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</si>
  <si>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</si>
  <si>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</si>
  <si>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</si>
  <si>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</si>
  <si>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</si>
  <si>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</si>
  <si>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</si>
  <si>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</si>
  <si>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</si>
  <si>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</si>
  <si>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</si>
  <si>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</si>
  <si>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</si>
  <si>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</si>
  <si>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</si>
  <si>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</si>
  <si>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</si>
  <si>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</si>
  <si>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</si>
  <si>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</si>
  <si>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</si>
  <si>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</si>
  <si>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</si>
  <si>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</si>
  <si>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</si>
  <si>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</si>
  <si>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</si>
  <si>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</si>
  <si>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</si>
  <si>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</si>
  <si>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</si>
  <si>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</si>
  <si>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</si>
  <si>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</si>
  <si>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</si>
  <si>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</si>
  <si>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</si>
  <si>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</si>
  <si>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</si>
  <si>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</si>
  <si>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</si>
  <si>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</si>
  <si>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</si>
  <si>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</si>
  <si>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</si>
  <si>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</si>
  <si>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</si>
  <si>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</si>
  <si>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</si>
  <si>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</si>
  <si>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</si>
  <si>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</si>
  <si>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</si>
  <si>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</si>
  <si>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</si>
  <si>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</si>
  <si>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</si>
  <si>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</si>
  <si>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</si>
  <si>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</si>
  <si>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</si>
  <si>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Alice Delahunty</t>
  </si>
  <si>
    <t>Chris Bennett</t>
  </si>
  <si>
    <t>Darren Pettifer</t>
  </si>
  <si>
    <t>Fixed Pay</t>
  </si>
  <si>
    <t>Salary</t>
  </si>
  <si>
    <t>Bonus</t>
  </si>
  <si>
    <t>Benefits</t>
  </si>
  <si>
    <t>Other cash benefits</t>
  </si>
  <si>
    <t>Non-cash benefits</t>
  </si>
  <si>
    <t>Pension</t>
  </si>
  <si>
    <t>Ex-Gratia payment</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</si>
  <si>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</si>
  <si>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</si>
  <si>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</si>
  <si>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</si>
  <si>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</si>
  <si>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</si>
  <si>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</si>
  <si>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</si>
  <si>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</si>
  <si>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</si>
  <si>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</si>
  <si>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</si>
  <si>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</si>
  <si>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</si>
  <si>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</si>
  <si>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</si>
  <si>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</si>
  <si>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</si>
  <si>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</si>
  <si>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</si>
  <si>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</si>
  <si>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</si>
  <si>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</si>
  <si>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</si>
  <si>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</si>
  <si>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</si>
  <si>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</si>
  <si>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</si>
  <si>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</si>
  <si>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</si>
  <si>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</si>
  <si>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 xml:space="preserve">National Grid’s group structure means that Directors do not hold shares at a Licensee level. For this reason NGET have agreed with Ofgem that we will not declare any shares/options as part of the remunerations package as information around Shares/Options and dividends paid becomes inapplicable. Any shares owned would be in National Grid plc, and would not be allocated to the individual businesses. Shares owned would not be awarded by the rewards team and do not form part of the remuneration package. </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</si>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</sst>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4">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0_);[Red]\(#,##0\);\-"/>
    <numFmt numFmtId="349" formatCode="_(* #,##0.000_);_(* \(#,##0.000\);_(* &quot;-&quot;??_);_(@_)"/>
    <numFmt numFmtId="350" formatCode="[$-F800]dddd\,\ mmmm\ dd\,\ yyyy"/>
    <numFmt numFmtId="351" formatCode="0.00000000%"/>
    <numFmt numFmtId="352" formatCode="_-* #,##0.0_-;\-* #,##0.0_-;_-* &quot;-&quot;?_-;_-@_-"/>
    <numFmt numFmtId="353" formatCode="&quot;£&quot;#,##0.0"/>
    <numFmt numFmtId="354" formatCode="0.00000"/>
    <numFmt numFmtId="355" formatCode="#,##0.0;\-#,##0.0;\-;@"/>
    <numFmt numFmtId="356" formatCode="0.0000"/>
  </numFmts>
  <fonts count="302">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
      <patternFill patternType="solid">
        <fgColor rgb="FFFFFF00"/>
        <bgColor indexed="64"/>
      </patternFill>
    </fill>
  </fills>
  <borders count="2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dotted">
        <color indexed="64"/>
      </left>
      <right/>
      <top style="thin">
        <color indexed="64"/>
      </top>
      <bottom/>
      <diagonal/>
    </border>
    <border>
      <left style="dotted">
        <color indexed="64"/>
      </left>
      <right style="thin">
        <color theme="0" tint="-0.499984740745262"/>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style="thin">
        <color indexed="64"/>
      </top>
      <bottom/>
      <diagonal/>
    </border>
    <border>
      <left/>
      <right/>
      <top style="thin">
        <color theme="0" tint="-0.49998474074526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theme="0" tint="-0.499984740745262"/>
      </right>
      <top style="medium">
        <color rgb="FFFF0000"/>
      </top>
      <bottom style="medium">
        <color rgb="FFFF0000"/>
      </bottom>
      <diagonal/>
    </border>
    <border>
      <left style="thin">
        <color theme="0" tint="-0.499984740745262"/>
      </left>
      <right style="thin">
        <color theme="0" tint="-0.499984740745262"/>
      </right>
      <top style="medium">
        <color rgb="FFFF0000"/>
      </top>
      <bottom style="thin">
        <color theme="0" tint="-0.499984740745262"/>
      </bottom>
      <diagonal/>
    </border>
    <border>
      <left style="thin">
        <color theme="0" tint="-0.499984740745262"/>
      </left>
      <right style="medium">
        <color rgb="FFFF0000"/>
      </right>
      <top style="medium">
        <color rgb="FFFF0000"/>
      </top>
      <bottom style="thin">
        <color theme="0" tint="-0.499984740745262"/>
      </bottom>
      <diagonal/>
    </border>
    <border>
      <left style="thin">
        <color theme="0" tint="-0.499984740745262"/>
      </left>
      <right style="thin">
        <color theme="0" tint="-0.499984740745262"/>
      </right>
      <top style="thin">
        <color theme="0" tint="-0.499984740745262"/>
      </top>
      <bottom style="medium">
        <color rgb="FFFF0000"/>
      </bottom>
      <diagonal/>
    </border>
    <border>
      <left style="thin">
        <color theme="0" tint="-0.499984740745262"/>
      </left>
      <right style="medium">
        <color rgb="FFFF0000"/>
      </right>
      <top style="thin">
        <color theme="0" tint="-0.499984740745262"/>
      </top>
      <bottom style="medium">
        <color rgb="FFFF0000"/>
      </bottom>
      <diagonal/>
    </border>
    <border>
      <left/>
      <right style="medium">
        <color rgb="FFFF0000"/>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theme="0" tint="-0.499984740745262"/>
      </right>
      <top style="medium">
        <color rgb="FFFF0000"/>
      </top>
      <bottom style="thin">
        <color indexed="64"/>
      </bottom>
      <diagonal/>
    </border>
    <border>
      <left style="thin">
        <color theme="0" tint="-0.499984740745262"/>
      </left>
      <right style="medium">
        <color rgb="FFFF0000"/>
      </right>
      <top style="medium">
        <color rgb="FFFF0000"/>
      </top>
      <bottom style="thin">
        <color indexed="64"/>
      </bottom>
      <diagonal/>
    </border>
    <border>
      <left style="thin">
        <color theme="0" tint="-0.499984740745262"/>
      </left>
      <right style="medium">
        <color rgb="FFFF0000"/>
      </right>
      <top style="thin">
        <color theme="0" tint="-0.499984740745262"/>
      </top>
      <bottom style="thin">
        <color indexed="64"/>
      </bottom>
      <diagonal/>
    </border>
    <border>
      <left style="thin">
        <color indexed="64"/>
      </left>
      <right style="thin">
        <color theme="0" tint="-0.499984740745262"/>
      </right>
      <top style="thin">
        <color theme="0" tint="-0.499984740745262"/>
      </top>
      <bottom style="medium">
        <color rgb="FFFF0000"/>
      </bottom>
      <diagonal/>
    </border>
    <border>
      <left style="medium">
        <color indexed="64"/>
      </left>
      <right style="thin">
        <color indexed="64"/>
      </right>
      <top/>
      <bottom style="medium">
        <color indexed="64"/>
      </bottom>
      <diagonal/>
    </border>
    <border>
      <left style="thin">
        <color theme="0" tint="-0.499984740745262"/>
      </left>
      <right style="medium">
        <color indexed="64"/>
      </right>
      <top/>
      <bottom style="medium">
        <color indexed="64"/>
      </bottom>
      <diagonal/>
    </border>
    <border>
      <left style="medium">
        <color rgb="FFFF0000"/>
      </left>
      <right style="thin">
        <color indexed="64"/>
      </right>
      <top style="medium">
        <color rgb="FFFF0000"/>
      </top>
      <bottom style="thin">
        <color theme="0" tint="-0.499984740745262"/>
      </bottom>
      <diagonal/>
    </border>
    <border>
      <left style="medium">
        <color rgb="FFFF0000"/>
      </left>
      <right style="thin">
        <color indexed="64"/>
      </right>
      <top style="thin">
        <color indexed="64"/>
      </top>
      <bottom style="thin">
        <color theme="0" tint="-0.499984740745262"/>
      </bottom>
      <diagonal/>
    </border>
    <border>
      <left style="thin">
        <color theme="0" tint="-0.499984740745262"/>
      </left>
      <right style="medium">
        <color rgb="FFFF0000"/>
      </right>
      <top style="thin">
        <color indexed="64"/>
      </top>
      <bottom style="thin">
        <color theme="0" tint="-0.499984740745262"/>
      </bottom>
      <diagonal/>
    </border>
    <border>
      <left style="medium">
        <color rgb="FFFF0000"/>
      </left>
      <right style="thin">
        <color indexed="64"/>
      </right>
      <top style="thin">
        <color indexed="64"/>
      </top>
      <bottom style="medium">
        <color rgb="FFFF0000"/>
      </bottom>
      <diagonal/>
    </border>
    <border>
      <left style="thin">
        <color theme="0" tint="-0.499984740745262"/>
      </left>
      <right style="medium">
        <color rgb="FFFF0000"/>
      </right>
      <top style="thin">
        <color indexed="64"/>
      </top>
      <bottom style="medium">
        <color rgb="FFFF0000"/>
      </bottom>
      <diagonal/>
    </border>
    <border>
      <left style="medium">
        <color rgb="FFFF0000"/>
      </left>
      <right style="thin">
        <color indexed="64"/>
      </right>
      <top style="thin">
        <color theme="0" tint="-0.499984740745262"/>
      </top>
      <bottom style="thin">
        <color theme="0" tint="-0.499984740745262"/>
      </bottom>
      <diagonal/>
    </border>
    <border>
      <left style="medium">
        <color rgb="FFFF0000"/>
      </left>
      <right style="thin">
        <color indexed="64"/>
      </right>
      <top style="thin">
        <color theme="0" tint="-0.499984740745262"/>
      </top>
      <bottom style="medium">
        <color rgb="FFFF0000"/>
      </bottom>
      <diagonal/>
    </border>
    <border>
      <left style="thin">
        <color indexed="64"/>
      </left>
      <right style="thin">
        <color theme="0" tint="-0.499984740745262"/>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51697">
    <xf numFmtId="0" fontId="0" fillId="0" borderId="0"/>
    <xf numFmtId="164" fontId="7" fillId="0" borderId="0" applyFont="0" applyFill="0" applyBorder="0" applyAlignment="0" applyProtection="0"/>
    <xf numFmtId="164" fontId="9" fillId="0" borderId="0" applyFont="0" applyFill="0" applyBorder="0" applyAlignment="0" applyProtection="0"/>
    <xf numFmtId="0" fontId="9" fillId="0" borderId="0"/>
    <xf numFmtId="0" fontId="12" fillId="0" borderId="0"/>
    <xf numFmtId="0" fontId="9" fillId="0" borderId="0"/>
    <xf numFmtId="166"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67" fontId="7" fillId="3" borderId="6">
      <alignment vertical="center"/>
      <protection locked="0"/>
    </xf>
    <xf numFmtId="167"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67" fontId="7" fillId="3" borderId="6">
      <alignment vertical="center"/>
      <protection locked="0"/>
    </xf>
    <xf numFmtId="0" fontId="34" fillId="0" borderId="0" applyNumberFormat="0" applyFill="0" applyBorder="0" applyAlignment="0" applyProtection="0"/>
    <xf numFmtId="0" fontId="25" fillId="0" borderId="0"/>
    <xf numFmtId="168" fontId="37" fillId="48" borderId="0" applyBorder="0">
      <alignment vertical="center"/>
    </xf>
    <xf numFmtId="164" fontId="7" fillId="0" borderId="0" applyFont="0" applyFill="0" applyBorder="0" applyAlignment="0" applyProtection="0"/>
    <xf numFmtId="168"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lignment vertical="top"/>
    </xf>
    <xf numFmtId="180" fontId="9" fillId="0" borderId="0">
      <alignment vertical="top"/>
    </xf>
    <xf numFmtId="181" fontId="43" fillId="0" borderId="0"/>
    <xf numFmtId="182" fontId="9" fillId="0" borderId="0"/>
    <xf numFmtId="182" fontId="9" fillId="0" borderId="0"/>
    <xf numFmtId="182" fontId="9" fillId="0" borderId="0"/>
    <xf numFmtId="182" fontId="9" fillId="0" borderId="0"/>
    <xf numFmtId="182" fontId="9" fillId="0" borderId="0"/>
    <xf numFmtId="180" fontId="44" fillId="0" borderId="0"/>
    <xf numFmtId="181" fontId="43" fillId="0" borderId="0"/>
    <xf numFmtId="182" fontId="9" fillId="0" borderId="0"/>
    <xf numFmtId="182" fontId="9" fillId="0" borderId="0"/>
    <xf numFmtId="182" fontId="9" fillId="0" borderId="0"/>
    <xf numFmtId="182" fontId="9" fillId="0" borderId="0"/>
    <xf numFmtId="182" fontId="9" fillId="0" borderId="0"/>
    <xf numFmtId="183" fontId="45" fillId="0" borderId="0" applyFont="0" applyFill="0" applyBorder="0" applyAlignment="0" applyProtection="0">
      <protection locked="0"/>
    </xf>
    <xf numFmtId="184" fontId="44" fillId="0" borderId="0">
      <alignment horizontal="right"/>
    </xf>
    <xf numFmtId="185" fontId="44" fillId="46" borderId="0"/>
    <xf numFmtId="186" fontId="44" fillId="46" borderId="0"/>
    <xf numFmtId="187" fontId="44" fillId="46" borderId="0"/>
    <xf numFmtId="188" fontId="44" fillId="46" borderId="0">
      <alignment horizontal="right"/>
    </xf>
    <xf numFmtId="0" fontId="12" fillId="0" borderId="0"/>
    <xf numFmtId="174" fontId="12" fillId="0" borderId="0"/>
    <xf numFmtId="174"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0" fontId="9" fillId="0" borderId="0"/>
    <xf numFmtId="0" fontId="9" fillId="0" borderId="0"/>
    <xf numFmtId="180" fontId="12"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0" fontId="12" fillId="0" borderId="0"/>
    <xf numFmtId="0" fontId="9" fillId="0" borderId="0"/>
    <xf numFmtId="0" fontId="9" fillId="0" borderId="0"/>
    <xf numFmtId="0" fontId="9" fillId="0" borderId="0"/>
    <xf numFmtId="19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0" fontId="9" fillId="0" borderId="0" applyBorder="0"/>
    <xf numFmtId="180" fontId="46" fillId="0" borderId="0" applyNumberFormat="0" applyFont="0" applyFill="0" applyBorder="0" applyAlignment="0" applyProtection="0"/>
    <xf numFmtId="191" fontId="9" fillId="0" borderId="0" applyFont="0" applyFill="0" applyBorder="0" applyAlignment="0" applyProtection="0"/>
    <xf numFmtId="18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0" fontId="48" fillId="0" borderId="0"/>
    <xf numFmtId="180" fontId="9" fillId="0" borderId="0" applyFont="0" applyFill="0" applyBorder="0" applyAlignment="0" applyProtection="0"/>
    <xf numFmtId="180" fontId="48" fillId="0" borderId="0"/>
    <xf numFmtId="180"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0" fontId="9" fillId="0" borderId="0"/>
    <xf numFmtId="180" fontId="9"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3" fontId="9" fillId="0" borderId="0" applyFont="0" applyFill="0" applyBorder="0" applyAlignment="0" applyProtection="0"/>
    <xf numFmtId="180" fontId="43" fillId="0" borderId="0" applyFont="0" applyFill="0" applyBorder="0" applyAlignment="0" applyProtection="0"/>
    <xf numFmtId="193" fontId="9" fillId="0" borderId="0" applyFont="0" applyFill="0" applyBorder="0" applyAlignment="0" applyProtection="0"/>
    <xf numFmtId="180" fontId="9" fillId="0" borderId="0"/>
    <xf numFmtId="180" fontId="9" fillId="0" borderId="0"/>
    <xf numFmtId="0" fontId="9" fillId="0" borderId="0"/>
    <xf numFmtId="180"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4" fontId="9" fillId="0" borderId="0" applyFont="0" applyFill="0" applyBorder="0" applyAlignment="0" applyProtection="0"/>
    <xf numFmtId="180" fontId="43" fillId="0" borderId="0" applyFont="0" applyFill="0" applyBorder="0" applyAlignment="0" applyProtection="0"/>
    <xf numFmtId="195"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39" fontId="9" fillId="0" borderId="0" applyFont="0" applyFill="0" applyBorder="0" applyAlignment="0" applyProtection="0"/>
    <xf numFmtId="180" fontId="43" fillId="0" borderId="0" applyFont="0" applyFill="0" applyBorder="0" applyAlignment="0" applyProtection="0"/>
    <xf numFmtId="39" fontId="9" fillId="0" borderId="0" applyFont="0" applyFill="0" applyBorder="0" applyAlignment="0" applyProtection="0"/>
    <xf numFmtId="18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48" fillId="0" borderId="0"/>
    <xf numFmtId="180" fontId="41" fillId="0" borderId="0"/>
    <xf numFmtId="180" fontId="41" fillId="0" borderId="0"/>
    <xf numFmtId="38" fontId="49" fillId="0" borderId="0" applyAlignment="0" applyProtection="0"/>
    <xf numFmtId="38" fontId="49" fillId="0" borderId="0" applyFont="0" applyBorder="0" applyAlignment="0" applyProtection="0"/>
    <xf numFmtId="196"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48"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196"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48" fillId="0" borderId="0"/>
    <xf numFmtId="197" fontId="9" fillId="0" borderId="0" applyFont="0" applyFill="0" applyBorder="0" applyAlignment="0" applyProtection="0"/>
    <xf numFmtId="180" fontId="43" fillId="0" borderId="0" applyFont="0" applyFill="0" applyBorder="0" applyAlignment="0" applyProtection="0"/>
    <xf numFmtId="198"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180" fontId="43" fillId="0" borderId="0" applyFont="0" applyFill="0" applyBorder="0" applyAlignment="0" applyProtection="0"/>
    <xf numFmtId="20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180" fontId="48" fillId="0" borderId="0"/>
    <xf numFmtId="180" fontId="48" fillId="0" borderId="0"/>
    <xf numFmtId="180" fontId="9" fillId="0" borderId="0"/>
    <xf numFmtId="0" fontId="9" fillId="0" borderId="0" applyFont="0" applyFill="0" applyBorder="0" applyAlignment="0" applyProtection="0"/>
    <xf numFmtId="180" fontId="48" fillId="0" borderId="0"/>
    <xf numFmtId="38" fontId="40" fillId="0" borderId="0" applyAlignment="0" applyProtection="0"/>
    <xf numFmtId="180" fontId="9" fillId="0" borderId="0"/>
    <xf numFmtId="180" fontId="9" fillId="0" borderId="0"/>
    <xf numFmtId="38" fontId="49" fillId="0" borderId="0" applyFont="0" applyFill="0" applyBorder="0" applyAlignment="0" applyProtection="0"/>
    <xf numFmtId="38" fontId="49" fillId="0" borderId="0" applyFont="0" applyFill="0" applyBorder="0" applyAlignment="0" applyProtection="0"/>
    <xf numFmtId="201" fontId="9" fillId="0" borderId="0" applyFont="0" applyFill="0" applyBorder="0" applyAlignment="0" applyProtection="0"/>
    <xf numFmtId="180" fontId="43" fillId="0" borderId="0" applyFont="0" applyFill="0" applyBorder="0" applyAlignment="0" applyProtection="0"/>
    <xf numFmtId="176" fontId="9" fillId="0" borderId="0" applyFont="0" applyFill="0" applyBorder="0" applyAlignment="0" applyProtection="0"/>
    <xf numFmtId="201" fontId="9" fillId="0" borderId="0" applyFont="0" applyFill="0" applyBorder="0" applyAlignment="0" applyProtection="0"/>
    <xf numFmtId="176" fontId="9" fillId="0" borderId="0" applyFont="0" applyFill="0" applyBorder="0" applyAlignment="0" applyProtection="0"/>
    <xf numFmtId="202" fontId="9" fillId="0" borderId="0" applyFont="0" applyFill="0" applyBorder="0" applyAlignment="0" applyProtection="0"/>
    <xf numFmtId="180" fontId="43" fillId="0" borderId="0" applyFont="0" applyFill="0" applyBorder="0" applyAlignment="0" applyProtection="0"/>
    <xf numFmtId="203"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0" fontId="50" fillId="0" borderId="0"/>
    <xf numFmtId="180" fontId="50" fillId="0" borderId="0"/>
    <xf numFmtId="180" fontId="50" fillId="0" borderId="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0" fontId="51" fillId="0" borderId="0" applyNumberFormat="0" applyFill="0" applyBorder="0" applyProtection="0">
      <alignment horizontal="left"/>
    </xf>
    <xf numFmtId="180"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50" fillId="0" borderId="0"/>
    <xf numFmtId="180" fontId="50" fillId="0" borderId="0"/>
    <xf numFmtId="204" fontId="53" fillId="0" borderId="0"/>
    <xf numFmtId="180" fontId="41" fillId="0" borderId="0"/>
    <xf numFmtId="180" fontId="41" fillId="0" borderId="0"/>
    <xf numFmtId="180" fontId="50" fillId="0" borderId="0"/>
    <xf numFmtId="180" fontId="50" fillId="0" borderId="0"/>
    <xf numFmtId="180" fontId="50" fillId="0" borderId="0"/>
    <xf numFmtId="0" fontId="9" fillId="0" borderId="0" applyFont="0" applyFill="0" applyBorder="0" applyAlignment="0" applyProtection="0"/>
    <xf numFmtId="180" fontId="9" fillId="0" borderId="0"/>
    <xf numFmtId="180" fontId="48" fillId="0" borderId="0"/>
    <xf numFmtId="204"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205" fontId="54" fillId="0" borderId="0" applyFont="0" applyFill="0" applyBorder="0" applyAlignment="0" applyProtection="0"/>
    <xf numFmtId="206" fontId="41" fillId="0" borderId="0" applyFont="0" applyFill="0" applyBorder="0" applyAlignment="0" applyProtection="0"/>
    <xf numFmtId="207" fontId="55" fillId="0" borderId="0"/>
    <xf numFmtId="208" fontId="41" fillId="0" borderId="0" applyFont="0" applyFill="0" applyBorder="0" applyAlignment="0" applyProtection="0"/>
    <xf numFmtId="209" fontId="54" fillId="0" borderId="0" applyFont="0" applyFill="0" applyBorder="0" applyAlignment="0" applyProtection="0"/>
    <xf numFmtId="0" fontId="12" fillId="0" borderId="0"/>
    <xf numFmtId="0" fontId="9" fillId="0" borderId="0"/>
    <xf numFmtId="0"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0" fontId="9" fillId="0" borderId="0"/>
    <xf numFmtId="210" fontId="9" fillId="0" borderId="0" applyBorder="0"/>
    <xf numFmtId="0" fontId="9" fillId="0" borderId="0"/>
    <xf numFmtId="0" fontId="9" fillId="0" borderId="0"/>
    <xf numFmtId="180" fontId="9" fillId="0" borderId="0" applyBorder="0"/>
    <xf numFmtId="210" fontId="9" fillId="0" borderId="0" applyBorder="0"/>
    <xf numFmtId="204" fontId="53" fillId="0" borderId="0"/>
    <xf numFmtId="211" fontId="55" fillId="0" borderId="0"/>
    <xf numFmtId="211" fontId="56" fillId="0" borderId="0"/>
    <xf numFmtId="212" fontId="55" fillId="0" borderId="0"/>
    <xf numFmtId="213" fontId="45" fillId="0" borderId="0" applyFont="0" applyFill="0" applyBorder="0" applyAlignment="0" applyProtection="0">
      <protection locked="0"/>
    </xf>
    <xf numFmtId="214" fontId="57" fillId="0" borderId="0"/>
    <xf numFmtId="180" fontId="56" fillId="0" borderId="0"/>
    <xf numFmtId="214"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89"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9"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89"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89"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89" fontId="59" fillId="60" borderId="0" applyNumberFormat="0" applyBorder="0" applyAlignment="0" applyProtection="0"/>
    <xf numFmtId="215" fontId="55" fillId="0" borderId="0"/>
    <xf numFmtId="216" fontId="56" fillId="0" borderId="0"/>
    <xf numFmtId="215" fontId="60" fillId="0" borderId="0"/>
    <xf numFmtId="0" fontId="9" fillId="0" borderId="0"/>
    <xf numFmtId="0" fontId="9" fillId="0" borderId="0"/>
    <xf numFmtId="217"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9"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9"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89"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89"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9"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89"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89"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89"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89" fontId="62" fillId="25" borderId="0" applyNumberFormat="0" applyBorder="0" applyAlignment="0" applyProtection="0"/>
    <xf numFmtId="218" fontId="63" fillId="0" borderId="9">
      <alignment horizontal="centerContinuous"/>
    </xf>
    <xf numFmtId="219" fontId="64" fillId="40" borderId="12">
      <alignment horizontal="center" vertical="center"/>
    </xf>
    <xf numFmtId="210" fontId="45" fillId="0" borderId="0" applyFont="0" applyFill="0" applyBorder="0" applyAlignment="0" applyProtection="0"/>
    <xf numFmtId="180" fontId="45" fillId="0" borderId="0" applyFont="0" applyFill="0" applyBorder="0" applyAlignment="0" applyProtection="0"/>
    <xf numFmtId="204" fontId="65" fillId="0" borderId="0" applyNumberFormat="0" applyFont="0" applyFill="0" applyBorder="0" applyProtection="0">
      <alignment horizontal="center"/>
    </xf>
    <xf numFmtId="220" fontId="66" fillId="0" borderId="0">
      <alignment horizontal="left"/>
    </xf>
    <xf numFmtId="0" fontId="57" fillId="0" borderId="0"/>
    <xf numFmtId="221" fontId="67" fillId="0" borderId="0" applyFont="0" applyFill="0" applyBorder="0" applyAlignment="0" applyProtection="0"/>
    <xf numFmtId="180"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89" fontId="72" fillId="20" borderId="0" applyNumberFormat="0" applyBorder="0" applyAlignment="0" applyProtection="0"/>
    <xf numFmtId="222"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3" fontId="9" fillId="0" borderId="0" applyFont="0" applyFill="0" applyBorder="0" applyAlignment="0" applyProtection="0"/>
    <xf numFmtId="193" fontId="9" fillId="0" borderId="0" applyNumberFormat="0" applyFont="0" applyAlignment="0" applyProtection="0"/>
    <xf numFmtId="180" fontId="75" fillId="77" borderId="0">
      <alignment horizontal="left"/>
    </xf>
    <xf numFmtId="224" fontId="76" fillId="0" borderId="0" applyFill="0" applyBorder="0" applyAlignment="0" applyProtection="0"/>
    <xf numFmtId="2" fontId="77" fillId="50" borderId="11" applyProtection="0">
      <alignment horizontal="left"/>
      <protection locked="0"/>
    </xf>
    <xf numFmtId="180" fontId="64" fillId="40" borderId="0" applyNumberFormat="0" applyFont="0" applyAlignment="0">
      <alignment horizontal="center"/>
    </xf>
    <xf numFmtId="225" fontId="78" fillId="40" borderId="0" applyFont="0" applyFill="0" applyBorder="0" applyAlignment="0" applyProtection="0"/>
    <xf numFmtId="180" fontId="79" fillId="0" borderId="0" applyNumberFormat="0" applyFill="0" applyBorder="0" applyAlignment="0" applyProtection="0"/>
    <xf numFmtId="180" fontId="80" fillId="0" borderId="9" applyNumberFormat="0" applyFill="0" applyAlignment="0" applyProtection="0"/>
    <xf numFmtId="180" fontId="55" fillId="0" borderId="0"/>
    <xf numFmtId="226" fontId="81" fillId="45" borderId="0" applyFont="0" applyFill="0" applyBorder="0" applyAlignment="0" applyProtection="0"/>
    <xf numFmtId="227"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28" fontId="41" fillId="0" borderId="0" applyFont="0" applyFill="0" applyBorder="0" applyAlignment="0" applyProtection="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5" fillId="0" borderId="0"/>
    <xf numFmtId="229" fontId="43" fillId="0" borderId="0"/>
    <xf numFmtId="230" fontId="43" fillId="0" borderId="0"/>
    <xf numFmtId="231" fontId="43" fillId="0" borderId="0"/>
    <xf numFmtId="229" fontId="43" fillId="0" borderId="8"/>
    <xf numFmtId="230" fontId="43" fillId="0" borderId="8"/>
    <xf numFmtId="230" fontId="43" fillId="0" borderId="8"/>
    <xf numFmtId="231" fontId="43" fillId="0" borderId="8"/>
    <xf numFmtId="231" fontId="43" fillId="0" borderId="8"/>
    <xf numFmtId="229" fontId="43" fillId="0" borderId="8"/>
    <xf numFmtId="229" fontId="43" fillId="0" borderId="8"/>
    <xf numFmtId="229" fontId="43" fillId="0" borderId="0"/>
    <xf numFmtId="232" fontId="43" fillId="0" borderId="0"/>
    <xf numFmtId="180" fontId="45" fillId="0" borderId="0" applyFill="0" applyBorder="0" applyAlignment="0"/>
    <xf numFmtId="233" fontId="43" fillId="0" borderId="0"/>
    <xf numFmtId="234" fontId="43" fillId="0" borderId="0"/>
    <xf numFmtId="232" fontId="43" fillId="0" borderId="8"/>
    <xf numFmtId="233" fontId="43" fillId="0" borderId="8"/>
    <xf numFmtId="233" fontId="43" fillId="0" borderId="8"/>
    <xf numFmtId="234" fontId="43" fillId="0" borderId="8"/>
    <xf numFmtId="234" fontId="43" fillId="0" borderId="8"/>
    <xf numFmtId="232" fontId="43" fillId="0" borderId="8"/>
    <xf numFmtId="232" fontId="43" fillId="0" borderId="8"/>
    <xf numFmtId="232" fontId="43" fillId="0" borderId="0"/>
    <xf numFmtId="235" fontId="43" fillId="0" borderId="0">
      <alignment horizontal="right"/>
      <protection locked="0"/>
    </xf>
    <xf numFmtId="236" fontId="43" fillId="0" borderId="0">
      <alignment horizontal="right"/>
      <protection locked="0"/>
    </xf>
    <xf numFmtId="237" fontId="43" fillId="0" borderId="0"/>
    <xf numFmtId="238" fontId="43" fillId="0" borderId="0"/>
    <xf numFmtId="239" fontId="43" fillId="0" borderId="0"/>
    <xf numFmtId="237" fontId="43" fillId="0" borderId="8"/>
    <xf numFmtId="238" fontId="43" fillId="0" borderId="8"/>
    <xf numFmtId="238" fontId="43" fillId="0" borderId="8"/>
    <xf numFmtId="239" fontId="43" fillId="0" borderId="8"/>
    <xf numFmtId="239" fontId="43" fillId="0" borderId="8"/>
    <xf numFmtId="237" fontId="43" fillId="0" borderId="8"/>
    <xf numFmtId="237" fontId="43" fillId="0" borderId="8"/>
    <xf numFmtId="237" fontId="43" fillId="0" borderId="0"/>
    <xf numFmtId="240" fontId="9" fillId="46" borderId="0"/>
    <xf numFmtId="180"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89" fontId="88" fillId="61" borderId="14" applyNumberFormat="0" applyAlignment="0" applyProtection="0"/>
    <xf numFmtId="189"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89"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3" fontId="93" fillId="0" borderId="0" applyBorder="0">
      <alignment horizontal="right"/>
    </xf>
    <xf numFmtId="173" fontId="93" fillId="0" borderId="17" applyAlignment="0">
      <alignment horizontal="right"/>
    </xf>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38" fontId="9" fillId="0" borderId="0" applyFont="0" applyFill="0" applyBorder="0" applyAlignment="0" applyProtection="0"/>
    <xf numFmtId="204" fontId="45" fillId="0" borderId="0" applyFont="0" applyFill="0" applyBorder="0" applyAlignment="0" applyProtection="0">
      <protection locked="0"/>
    </xf>
    <xf numFmtId="40" fontId="45" fillId="0" borderId="0" applyFont="0" applyFill="0" applyBorder="0" applyAlignment="0" applyProtection="0">
      <protection locked="0"/>
    </xf>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0" fontId="9" fillId="0" borderId="0" applyNumberFormat="0" applyFont="0" applyBorder="0" applyAlignment="0"/>
    <xf numFmtId="207" fontId="55" fillId="0" borderId="0"/>
    <xf numFmtId="242" fontId="57" fillId="0" borderId="0"/>
    <xf numFmtId="180" fontId="94" fillId="0" borderId="0" applyFont="0" applyFill="0" applyBorder="0" applyAlignment="0" applyProtection="0">
      <alignment horizontal="right"/>
    </xf>
    <xf numFmtId="243" fontId="94" fillId="0" borderId="0" applyFont="0" applyFill="0" applyBorder="0" applyAlignment="0" applyProtection="0"/>
    <xf numFmtId="180" fontId="94" fillId="0" borderId="0" applyFont="0" applyFill="0" applyBorder="0" applyAlignment="0" applyProtection="0">
      <alignment horizontal="right"/>
    </xf>
    <xf numFmtId="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242" fontId="12" fillId="0" borderId="0" applyFont="0" applyFill="0" applyBorder="0" applyAlignment="0" applyProtection="0"/>
    <xf numFmtId="174" fontId="12" fillId="0" borderId="0" applyFont="0" applyFill="0" applyBorder="0" applyAlignment="0" applyProtection="0"/>
    <xf numFmtId="193" fontId="12" fillId="0" borderId="0" applyFont="0" applyFill="0" applyBorder="0" applyAlignment="0" applyProtection="0"/>
    <xf numFmtId="174"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244" fontId="12" fillId="0" borderId="0" applyFont="0" applyFill="0" applyBorder="0" applyAlignment="0" applyProtection="0"/>
    <xf numFmtId="245" fontId="12" fillId="0" borderId="0" applyFont="0" applyFill="0" applyBorder="0" applyAlignment="0" applyProtection="0"/>
    <xf numFmtId="245" fontId="12" fillId="0" borderId="0" applyFont="0" applyFill="0" applyBorder="0" applyAlignment="0" applyProtection="0"/>
    <xf numFmtId="173" fontId="12" fillId="0" borderId="0" applyFont="0" applyFill="0" applyBorder="0" applyAlignment="0" applyProtection="0"/>
    <xf numFmtId="188"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46"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47" fontId="9"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8" fontId="9" fillId="0" borderId="0" applyFont="0" applyFill="0" applyBorder="0" applyAlignment="0" applyProtection="0"/>
    <xf numFmtId="38" fontId="41" fillId="0" borderId="0" applyFill="0" applyBorder="0" applyProtection="0">
      <alignment horizontal="center"/>
    </xf>
    <xf numFmtId="180" fontId="95" fillId="0" borderId="0">
      <protection locked="0"/>
    </xf>
    <xf numFmtId="249" fontId="9" fillId="0" borderId="0" applyBorder="0"/>
    <xf numFmtId="250" fontId="53" fillId="0" borderId="0" applyBorder="0"/>
    <xf numFmtId="251" fontId="9" fillId="0" borderId="0" applyFill="0" applyBorder="0">
      <alignment horizontal="left"/>
    </xf>
    <xf numFmtId="180" fontId="96" fillId="0" borderId="0" applyNumberFormat="0" applyAlignment="0">
      <alignment horizontal="left"/>
    </xf>
    <xf numFmtId="37" fontId="9" fillId="80" borderId="0" applyFont="0" applyBorder="0" applyAlignment="0" applyProtection="0"/>
    <xf numFmtId="193" fontId="50" fillId="80" borderId="0" applyFont="0" applyBorder="0" applyAlignment="0" applyProtection="0"/>
    <xf numFmtId="39" fontId="50" fillId="80" borderId="0" applyFont="0" applyBorder="0" applyAlignment="0" applyProtection="0"/>
    <xf numFmtId="252" fontId="97" fillId="0" borderId="0"/>
    <xf numFmtId="253" fontId="45" fillId="0" borderId="0" applyFont="0" applyFill="0" applyBorder="0" applyAlignment="0" applyProtection="0">
      <protection locked="0"/>
    </xf>
    <xf numFmtId="254" fontId="45" fillId="0" borderId="0" applyFont="0" applyFill="0" applyBorder="0" applyAlignment="0" applyProtection="0">
      <protection locked="0"/>
    </xf>
    <xf numFmtId="255" fontId="9" fillId="0" borderId="0">
      <alignment horizontal="right"/>
    </xf>
    <xf numFmtId="180" fontId="94" fillId="0" borderId="0" applyFont="0" applyFill="0" applyBorder="0" applyAlignment="0" applyProtection="0">
      <alignment horizontal="right"/>
    </xf>
    <xf numFmtId="256" fontId="28" fillId="0" borderId="0" applyFont="0" applyFill="0" applyBorder="0" applyAlignment="0" applyProtection="0"/>
    <xf numFmtId="257" fontId="9" fillId="0" borderId="0" applyFont="0" applyFill="0" applyBorder="0" applyAlignment="0" applyProtection="0"/>
    <xf numFmtId="180" fontId="94" fillId="0" borderId="0" applyFont="0" applyFill="0" applyBorder="0" applyAlignment="0" applyProtection="0">
      <alignment horizontal="right"/>
    </xf>
    <xf numFmtId="256" fontId="13" fillId="0" borderId="0" applyFont="0" applyFill="0" applyBorder="0" applyAlignment="0" applyProtection="0"/>
    <xf numFmtId="251" fontId="9"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8" fontId="9" fillId="0" borderId="0" applyFont="0" applyFill="0" applyBorder="0" applyAlignment="0" applyProtection="0"/>
    <xf numFmtId="180" fontId="9" fillId="0" borderId="0" applyFont="0" applyFill="0" applyBorder="0" applyAlignment="0" applyProtection="0"/>
    <xf numFmtId="49" fontId="98" fillId="81" borderId="0" applyAlignment="0" applyProtection="0">
      <alignment vertical="center"/>
    </xf>
    <xf numFmtId="259" fontId="44" fillId="46" borderId="11">
      <alignment horizontal="right"/>
    </xf>
    <xf numFmtId="260" fontId="41" fillId="0" borderId="0" applyFont="0" applyFill="0" applyBorder="0" applyAlignment="0" applyProtection="0"/>
    <xf numFmtId="229" fontId="43" fillId="45" borderId="18">
      <protection locked="0"/>
    </xf>
    <xf numFmtId="230" fontId="43" fillId="45" borderId="18">
      <protection locked="0"/>
    </xf>
    <xf numFmtId="231" fontId="43" fillId="45" borderId="18">
      <protection locked="0"/>
    </xf>
    <xf numFmtId="229" fontId="43" fillId="45" borderId="18">
      <protection locked="0"/>
    </xf>
    <xf numFmtId="232" fontId="43" fillId="45" borderId="18">
      <protection locked="0"/>
    </xf>
    <xf numFmtId="233" fontId="43" fillId="45" borderId="18">
      <protection locked="0"/>
    </xf>
    <xf numFmtId="234" fontId="43" fillId="45" borderId="18">
      <protection locked="0"/>
    </xf>
    <xf numFmtId="232" fontId="43" fillId="45" borderId="18">
      <protection locked="0"/>
    </xf>
    <xf numFmtId="235" fontId="43" fillId="37" borderId="18">
      <alignment horizontal="right"/>
      <protection locked="0"/>
    </xf>
    <xf numFmtId="236"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37" fontId="43" fillId="45" borderId="18">
      <protection locked="0"/>
    </xf>
    <xf numFmtId="238" fontId="43" fillId="45" borderId="18">
      <protection locked="0"/>
    </xf>
    <xf numFmtId="239" fontId="43" fillId="45" borderId="18">
      <protection locked="0"/>
    </xf>
    <xf numFmtId="237" fontId="43" fillId="45" borderId="18">
      <protection locked="0"/>
    </xf>
    <xf numFmtId="49" fontId="43" fillId="38" borderId="18">
      <alignment horizontal="left"/>
      <protection locked="0"/>
    </xf>
    <xf numFmtId="261" fontId="43" fillId="45" borderId="18">
      <alignment horizontal="left" indent="1"/>
      <protection locked="0"/>
    </xf>
    <xf numFmtId="262" fontId="9" fillId="45" borderId="19"/>
    <xf numFmtId="262" fontId="9" fillId="45" borderId="19"/>
    <xf numFmtId="262" fontId="9" fillId="45" borderId="19"/>
    <xf numFmtId="262" fontId="9" fillId="45" borderId="19"/>
    <xf numFmtId="262" fontId="9" fillId="45" borderId="19"/>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180" fontId="94" fillId="0" borderId="0" applyFont="0" applyFill="0" applyBorder="0" applyAlignment="0" applyProtection="0"/>
    <xf numFmtId="264" fontId="9" fillId="0" borderId="0" applyFont="0" applyFill="0" applyBorder="0" applyAlignment="0" applyProtection="0"/>
    <xf numFmtId="180" fontId="94" fillId="0" borderId="0" applyFont="0" applyFill="0" applyBorder="0" applyAlignment="0" applyProtection="0"/>
    <xf numFmtId="180" fontId="93" fillId="50" borderId="0">
      <alignment horizontal="left"/>
    </xf>
    <xf numFmtId="263" fontId="9" fillId="0" borderId="0" applyFill="0" applyBorder="0"/>
    <xf numFmtId="14" fontId="9" fillId="0" borderId="0"/>
    <xf numFmtId="265" fontId="9" fillId="0" borderId="0" applyFont="0" applyFill="0" applyBorder="0" applyAlignment="0" applyProtection="0"/>
    <xf numFmtId="266" fontId="9" fillId="0" borderId="0" applyFont="0" applyFill="0" applyBorder="0" applyProtection="0">
      <alignment vertical="top"/>
    </xf>
    <xf numFmtId="266" fontId="9" fillId="0" borderId="0" applyFont="0" applyFill="0" applyBorder="0" applyProtection="0">
      <alignment vertical="top"/>
    </xf>
    <xf numFmtId="266" fontId="9" fillId="0" borderId="0" applyFont="0" applyFill="0" applyBorder="0" applyProtection="0">
      <alignment vertical="top"/>
    </xf>
    <xf numFmtId="267" fontId="9" fillId="0" borderId="0" applyFont="0" applyFill="0" applyBorder="0" applyAlignment="0" applyProtection="0"/>
    <xf numFmtId="266" fontId="9" fillId="0" borderId="0" applyFont="0" applyFill="0" applyBorder="0" applyProtection="0">
      <alignment vertical="top"/>
    </xf>
    <xf numFmtId="267" fontId="9" fillId="0" borderId="0" applyFont="0" applyFill="0" applyBorder="0" applyAlignment="0" applyProtection="0"/>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12" fontId="57" fillId="0" borderId="0">
      <alignment horizontal="right"/>
    </xf>
    <xf numFmtId="207" fontId="57" fillId="0" borderId="0">
      <alignment horizontal="right"/>
      <protection locked="0"/>
    </xf>
    <xf numFmtId="207" fontId="57" fillId="0" borderId="0"/>
    <xf numFmtId="269" fontId="57" fillId="0" borderId="0">
      <alignment horizontal="right"/>
      <protection locked="0"/>
    </xf>
    <xf numFmtId="207" fontId="58" fillId="0" borderId="0"/>
    <xf numFmtId="270" fontId="53" fillId="83" borderId="0" applyAlignment="0" applyProtection="0">
      <alignment horizontal="right"/>
    </xf>
    <xf numFmtId="271" fontId="9" fillId="0" borderId="0" applyFont="0" applyFill="0" applyBorder="0" applyAlignment="0" applyProtection="0"/>
    <xf numFmtId="166" fontId="9" fillId="0" borderId="0" applyFont="0" applyFill="0" applyBorder="0" applyAlignment="0" applyProtection="0"/>
    <xf numFmtId="204" fontId="65" fillId="46" borderId="0" applyNumberFormat="0" applyFont="0" applyBorder="0" applyAlignment="0" applyProtection="0"/>
    <xf numFmtId="254" fontId="41" fillId="0" borderId="0" applyFill="0" applyBorder="0" applyProtection="0">
      <alignment horizontal="center"/>
    </xf>
    <xf numFmtId="253" fontId="41" fillId="0" borderId="0">
      <alignment horizontal="center"/>
    </xf>
    <xf numFmtId="254" fontId="41" fillId="0" borderId="0" applyFill="0" applyBorder="0" applyProtection="0">
      <alignment horizontal="center"/>
    </xf>
    <xf numFmtId="251" fontId="99" fillId="0" borderId="0">
      <alignment horizontal="center"/>
    </xf>
    <xf numFmtId="180" fontId="94" fillId="0" borderId="20" applyNumberFormat="0" applyFont="0" applyFill="0" applyAlignment="0" applyProtection="0"/>
    <xf numFmtId="210" fontId="100" fillId="0" borderId="21"/>
    <xf numFmtId="211" fontId="57" fillId="0" borderId="0"/>
    <xf numFmtId="38" fontId="49" fillId="0" borderId="0" applyFont="0" applyFill="0" applyBorder="0" applyAlignment="0" applyProtection="0"/>
    <xf numFmtId="180" fontId="101" fillId="0" borderId="0" applyFont="0" applyFill="0" applyBorder="0" applyAlignment="0" applyProtection="0"/>
    <xf numFmtId="180" fontId="102" fillId="0" borderId="0" applyNumberFormat="0" applyAlignment="0">
      <alignment horizontal="left"/>
    </xf>
    <xf numFmtId="272" fontId="44" fillId="0" borderId="0"/>
    <xf numFmtId="273" fontId="44" fillId="0" borderId="0"/>
    <xf numFmtId="274" fontId="44" fillId="0" borderId="0"/>
    <xf numFmtId="275" fontId="44" fillId="0" borderId="0"/>
    <xf numFmtId="276" fontId="44" fillId="0" borderId="0"/>
    <xf numFmtId="277" fontId="44" fillId="0" borderId="0"/>
    <xf numFmtId="189" fontId="4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78"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180"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9"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1"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2" fontId="108" fillId="0" borderId="0" applyFill="0" applyBorder="0" applyProtection="0"/>
    <xf numFmtId="283" fontId="19" fillId="61" borderId="2" applyAlignment="0" applyProtection="0"/>
    <xf numFmtId="283" fontId="19" fillId="61" borderId="2" applyAlignment="0" applyProtection="0"/>
    <xf numFmtId="284" fontId="109" fillId="0" borderId="0" applyNumberFormat="0" applyFill="0" applyBorder="0" applyAlignment="0" applyProtection="0"/>
    <xf numFmtId="284" fontId="110" fillId="0" borderId="0" applyNumberFormat="0" applyFill="0" applyBorder="0" applyAlignment="0" applyProtection="0"/>
    <xf numFmtId="15" fontId="106" fillId="45" borderId="18">
      <alignment horizontal="center"/>
      <protection locked="0"/>
    </xf>
    <xf numFmtId="285" fontId="106" fillId="45" borderId="18" applyAlignment="0">
      <protection locked="0"/>
    </xf>
    <xf numFmtId="286" fontId="106" fillId="45" borderId="18" applyAlignment="0">
      <protection locked="0"/>
    </xf>
    <xf numFmtId="286" fontId="18" fillId="0" borderId="0" applyFill="0" applyBorder="0" applyAlignment="0" applyProtection="0"/>
    <xf numFmtId="287" fontId="18" fillId="0" borderId="0" applyFill="0" applyBorder="0" applyAlignment="0" applyProtection="0"/>
    <xf numFmtId="287" fontId="18" fillId="0" borderId="0" applyFill="0" applyBorder="0" applyAlignment="0" applyProtection="0"/>
    <xf numFmtId="288"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91" fontId="9" fillId="0" borderId="0" applyFont="0" applyFill="0" applyBorder="0" applyAlignment="0" applyProtection="0"/>
    <xf numFmtId="164" fontId="9" fillId="0" borderId="0" applyFont="0" applyFill="0" applyBorder="0" applyAlignment="0" applyProtection="0"/>
    <xf numFmtId="289" fontId="9" fillId="0" borderId="0" applyFont="0" applyFill="0" applyBorder="0" applyAlignment="0" applyProtection="0"/>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0" fontId="95" fillId="0" borderId="0">
      <protection locked="0"/>
    </xf>
    <xf numFmtId="251" fontId="112" fillId="0" borderId="0"/>
    <xf numFmtId="251" fontId="112" fillId="0" borderId="0"/>
    <xf numFmtId="180" fontId="113" fillId="0" borderId="0"/>
    <xf numFmtId="180"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2" fontId="116" fillId="0" borderId="0"/>
    <xf numFmtId="273" fontId="44" fillId="0" borderId="25"/>
    <xf numFmtId="291" fontId="44" fillId="46" borderId="11">
      <alignment horizontal="right"/>
    </xf>
    <xf numFmtId="292" fontId="9" fillId="0" borderId="0" applyFont="0" applyFill="0" applyBorder="0" applyAlignment="0" applyProtection="0"/>
    <xf numFmtId="293" fontId="117" fillId="0" borderId="0" applyFont="0" applyFill="0" applyBorder="0" applyAlignment="0" applyProtection="0"/>
    <xf numFmtId="294" fontId="9" fillId="0" borderId="0" applyFont="0" applyFill="0" applyBorder="0" applyAlignment="0" applyProtection="0"/>
    <xf numFmtId="295"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89"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6" fontId="93" fillId="36" borderId="26" applyNumberFormat="0" applyFont="0" applyAlignment="0"/>
    <xf numFmtId="180" fontId="94" fillId="0" borderId="0" applyFont="0" applyFill="0" applyBorder="0" applyAlignment="0" applyProtection="0">
      <alignment horizontal="right"/>
    </xf>
    <xf numFmtId="180" fontId="121" fillId="0" borderId="0" applyProtection="0">
      <alignment horizontal="right"/>
    </xf>
    <xf numFmtId="180" fontId="78" fillId="0" borderId="27" applyNumberFormat="0" applyAlignment="0" applyProtection="0">
      <alignment horizontal="left" vertical="center"/>
    </xf>
    <xf numFmtId="180"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89"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89"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89"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89" fontId="130" fillId="0" borderId="0" applyNumberFormat="0" applyFill="0" applyBorder="0" applyAlignment="0" applyProtection="0"/>
    <xf numFmtId="180" fontId="41" fillId="0" borderId="0">
      <protection locked="0"/>
    </xf>
    <xf numFmtId="180" fontId="41" fillId="0" borderId="0">
      <protection locked="0"/>
    </xf>
    <xf numFmtId="297" fontId="131" fillId="0" borderId="0">
      <alignment horizontal="right"/>
    </xf>
    <xf numFmtId="298" fontId="61" fillId="0" borderId="0" applyAlignment="0">
      <alignment horizontal="right"/>
      <protection hidden="1"/>
    </xf>
    <xf numFmtId="180" fontId="106" fillId="0" borderId="33" applyNumberFormat="0" applyFill="0" applyAlignment="0" applyProtection="0"/>
    <xf numFmtId="204"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9" fontId="140" fillId="0" borderId="0" applyNumberFormat="0" applyFill="0" applyBorder="0" applyAlignment="0" applyProtection="0">
      <alignment vertical="top"/>
      <protection locked="0"/>
    </xf>
    <xf numFmtId="180"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89" fontId="144" fillId="60" borderId="34" applyNumberFormat="0" applyAlignment="0" applyProtection="0"/>
    <xf numFmtId="189" fontId="144" fillId="60" borderId="34" applyNumberFormat="0" applyAlignment="0" applyProtection="0"/>
    <xf numFmtId="0" fontId="53" fillId="0" borderId="0" applyNumberFormat="0" applyFill="0" applyBorder="0" applyAlignment="0">
      <protection locked="0"/>
    </xf>
    <xf numFmtId="0" fontId="145" fillId="34" borderId="0"/>
    <xf numFmtId="240" fontId="64" fillId="86" borderId="0">
      <protection locked="0"/>
    </xf>
    <xf numFmtId="299"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0" fontId="153" fillId="0" borderId="0" applyFont="0" applyFill="0" applyBorder="0" applyAlignment="0" applyProtection="0"/>
    <xf numFmtId="180" fontId="9" fillId="0" borderId="0" applyNumberFormat="0" applyFont="0" applyFill="0" applyBorder="0" applyProtection="0">
      <alignment horizontal="left" vertical="center"/>
    </xf>
    <xf numFmtId="168" fontId="36" fillId="2" borderId="0"/>
    <xf numFmtId="168" fontId="37" fillId="53" borderId="0"/>
    <xf numFmtId="180"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89" fontId="157" fillId="0" borderId="36" applyNumberFormat="0" applyFill="0" applyAlignment="0" applyProtection="0"/>
    <xf numFmtId="0" fontId="98" fillId="87" borderId="0" applyAlignment="0" applyProtection="0">
      <alignment horizontal="right" vertical="center"/>
    </xf>
    <xf numFmtId="197" fontId="54" fillId="0" borderId="0" applyFont="0" applyFill="0" applyBorder="0" applyAlignment="0" applyProtection="0">
      <alignment horizontal="right"/>
    </xf>
    <xf numFmtId="301"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302"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40" fontId="158" fillId="0" borderId="0">
      <alignment horizontal="right"/>
    </xf>
    <xf numFmtId="37" fontId="159" fillId="0" borderId="0"/>
    <xf numFmtId="180" fontId="160" fillId="0" borderId="0">
      <alignment vertical="center"/>
    </xf>
    <xf numFmtId="180" fontId="9" fillId="0" borderId="0" applyNumberFormat="0" applyFill="0" applyBorder="0" applyAlignment="0" applyProtection="0"/>
    <xf numFmtId="164"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3" fontId="9" fillId="0" borderId="0" applyFont="0" applyFill="0" applyBorder="0" applyAlignment="0" applyProtection="0"/>
    <xf numFmtId="304" fontId="44" fillId="0" borderId="0">
      <alignment horizontal="right"/>
    </xf>
    <xf numFmtId="180" fontId="161" fillId="0" borderId="17"/>
    <xf numFmtId="305" fontId="49" fillId="0" borderId="0" applyFont="0" applyFill="0" applyBorder="0" applyAlignment="0" applyProtection="0"/>
    <xf numFmtId="306" fontId="4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7" fontId="53" fillId="36" borderId="0">
      <alignment horizontal="center"/>
    </xf>
    <xf numFmtId="308" fontId="41" fillId="0" borderId="0" applyFill="0" applyBorder="0" applyProtection="0">
      <alignment horizontal="center"/>
    </xf>
    <xf numFmtId="309"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0"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89" fontId="164" fillId="18" borderId="0" applyNumberFormat="0" applyBorder="0" applyAlignment="0" applyProtection="0"/>
    <xf numFmtId="37" fontId="165" fillId="0" borderId="0"/>
    <xf numFmtId="297" fontId="166" fillId="0" borderId="0"/>
    <xf numFmtId="311" fontId="45" fillId="0" borderId="0"/>
    <xf numFmtId="311" fontId="45" fillId="0" borderId="9"/>
    <xf numFmtId="311" fontId="45" fillId="0" borderId="37"/>
    <xf numFmtId="311" fontId="45" fillId="0" borderId="0"/>
    <xf numFmtId="312" fontId="57" fillId="0" borderId="0"/>
    <xf numFmtId="313" fontId="57" fillId="0" borderId="0"/>
    <xf numFmtId="314" fontId="57" fillId="0" borderId="0"/>
    <xf numFmtId="315" fontId="53" fillId="0" borderId="0"/>
    <xf numFmtId="316"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9"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89"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0"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89"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4" fontId="7" fillId="0" borderId="0"/>
    <xf numFmtId="174" fontId="24" fillId="0" borderId="0"/>
    <xf numFmtId="174" fontId="24" fillId="0" borderId="0"/>
    <xf numFmtId="174" fontId="24" fillId="0" borderId="0"/>
    <xf numFmtId="174" fontId="24" fillId="0" borderId="0"/>
    <xf numFmtId="174" fontId="24"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7" fontId="55" fillId="0" borderId="37"/>
    <xf numFmtId="0" fontId="106" fillId="0" borderId="0" applyFill="0" applyBorder="0">
      <protection locked="0"/>
    </xf>
    <xf numFmtId="180" fontId="9" fillId="0" borderId="0"/>
    <xf numFmtId="180" fontId="168" fillId="0" borderId="0"/>
    <xf numFmtId="180" fontId="169" fillId="0" borderId="0"/>
    <xf numFmtId="180" fontId="170" fillId="0" borderId="0"/>
    <xf numFmtId="180" fontId="171" fillId="0" borderId="0"/>
    <xf numFmtId="180"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89" fontId="9" fillId="34" borderId="38" applyNumberFormat="0" applyFont="0" applyAlignment="0" applyProtection="0"/>
    <xf numFmtId="189" fontId="9" fillId="34" borderId="38" applyNumberFormat="0" applyFont="0" applyAlignment="0" applyProtection="0"/>
    <xf numFmtId="0" fontId="173" fillId="83" borderId="0" applyAlignment="0" applyProtection="0">
      <alignment horizontal="left" vertical="top" wrapText="1"/>
    </xf>
    <xf numFmtId="284" fontId="9" fillId="45" borderId="39" applyFont="0" applyFill="0" applyBorder="0" applyAlignment="0" applyProtection="0">
      <protection locked="0"/>
    </xf>
    <xf numFmtId="37" fontId="9" fillId="0" borderId="0"/>
    <xf numFmtId="318" fontId="40" fillId="50" borderId="40" applyNumberFormat="0">
      <alignment vertical="center"/>
    </xf>
    <xf numFmtId="318" fontId="40" fillId="88" borderId="40" applyNumberFormat="0">
      <alignment vertical="center"/>
    </xf>
    <xf numFmtId="318" fontId="40" fillId="40" borderId="40" applyNumberFormat="0">
      <alignment vertical="center"/>
    </xf>
    <xf numFmtId="318" fontId="40" fillId="38" borderId="40" applyNumberFormat="0">
      <alignment vertical="center"/>
    </xf>
    <xf numFmtId="318" fontId="40" fillId="89" borderId="40" applyNumberFormat="0">
      <alignment vertical="center"/>
    </xf>
    <xf numFmtId="318" fontId="40" fillId="46" borderId="40" applyNumberFormat="0">
      <alignment vertical="center"/>
    </xf>
    <xf numFmtId="318" fontId="40" fillId="90" borderId="40" applyNumberFormat="0">
      <alignment vertical="center"/>
    </xf>
    <xf numFmtId="318" fontId="40" fillId="80" borderId="40" applyNumberFormat="0">
      <alignment vertical="center"/>
    </xf>
    <xf numFmtId="318" fontId="40" fillId="91" borderId="40" applyNumberFormat="0">
      <alignment vertical="center"/>
    </xf>
    <xf numFmtId="318" fontId="40" fillId="92" borderId="40" applyNumberFormat="0">
      <alignment vertical="center"/>
    </xf>
    <xf numFmtId="318" fontId="174" fillId="45" borderId="40">
      <protection locked="0"/>
    </xf>
    <xf numFmtId="318" fontId="174" fillId="37" borderId="40">
      <protection locked="0"/>
    </xf>
    <xf numFmtId="318" fontId="175" fillId="37" borderId="41" applyNumberFormat="0" applyFont="0" applyFill="0" applyAlignment="0" applyProtection="0">
      <protection locked="0"/>
    </xf>
    <xf numFmtId="318"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97" borderId="0">
      <alignment horizontal="right"/>
    </xf>
    <xf numFmtId="0" fontId="179" fillId="0" borderId="0">
      <alignment horizontal="left"/>
    </xf>
    <xf numFmtId="3" fontId="180" fillId="0" borderId="0" applyFill="0" applyBorder="0" applyAlignment="0" applyProtection="0"/>
    <xf numFmtId="180" fontId="181" fillId="12" borderId="43" applyNumberFormat="0" applyBorder="0" applyAlignment="0">
      <alignment horizontal="center"/>
      <protection hidden="1"/>
    </xf>
    <xf numFmtId="180"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89" fontId="185" fillId="61" borderId="44" applyNumberFormat="0" applyAlignment="0" applyProtection="0"/>
    <xf numFmtId="189" fontId="185" fillId="61" borderId="44" applyNumberFormat="0" applyAlignment="0" applyProtection="0"/>
    <xf numFmtId="40" fontId="18" fillId="33" borderId="0">
      <alignment horizontal="right"/>
    </xf>
    <xf numFmtId="180" fontId="186" fillId="98" borderId="0">
      <alignment horizontal="center"/>
    </xf>
    <xf numFmtId="180" fontId="187" fillId="99" borderId="0"/>
    <xf numFmtId="180" fontId="188" fillId="33" borderId="0" applyBorder="0">
      <alignment horizontal="centerContinuous"/>
    </xf>
    <xf numFmtId="180" fontId="189" fillId="99" borderId="0" applyBorder="0">
      <alignment horizontal="centerContinuous"/>
    </xf>
    <xf numFmtId="319" fontId="9" fillId="0" borderId="0"/>
    <xf numFmtId="319" fontId="9" fillId="0" borderId="0"/>
    <xf numFmtId="319" fontId="9" fillId="0" borderId="0"/>
    <xf numFmtId="319" fontId="9" fillId="0" borderId="0"/>
    <xf numFmtId="171" fontId="9" fillId="0" borderId="0"/>
    <xf numFmtId="171" fontId="9" fillId="0" borderId="0"/>
    <xf numFmtId="171" fontId="9" fillId="0" borderId="0"/>
    <xf numFmtId="171" fontId="9" fillId="0" borderId="0"/>
    <xf numFmtId="171" fontId="9" fillId="0" borderId="0"/>
    <xf numFmtId="319" fontId="9" fillId="0" borderId="0"/>
    <xf numFmtId="180" fontId="41" fillId="100" borderId="0" applyNumberFormat="0" applyFont="0" applyBorder="0" applyAlignment="0"/>
    <xf numFmtId="1" fontId="190" fillId="0" borderId="0" applyProtection="0">
      <alignment horizontal="right" vertical="center"/>
    </xf>
    <xf numFmtId="193" fontId="191" fillId="0" borderId="0">
      <alignment horizontal="left"/>
    </xf>
    <xf numFmtId="320" fontId="44" fillId="0" borderId="0"/>
    <xf numFmtId="321" fontId="44" fillId="0" borderId="0"/>
    <xf numFmtId="255" fontId="9" fillId="0" borderId="0" applyFont="0" applyFill="0" applyBorder="0" applyAlignment="0" applyProtection="0"/>
    <xf numFmtId="322" fontId="9" fillId="0" borderId="0" applyFont="0" applyFill="0" applyBorder="0" applyAlignment="0" applyProtection="0"/>
    <xf numFmtId="170"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0"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0" fontId="9" fillId="0" borderId="0">
      <protection locked="0"/>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330" fontId="7" fillId="101" borderId="6">
      <alignment vertical="center"/>
    </xf>
    <xf numFmtId="0"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67"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0" fontId="9" fillId="32" borderId="3" applyNumberFormat="0" applyProtection="0">
      <alignment horizontal="left" vertical="center" indent="1"/>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67"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0" fontId="193" fillId="0" borderId="17">
      <alignment horizontal="center"/>
    </xf>
    <xf numFmtId="3" fontId="49" fillId="0" borderId="0" applyFont="0" applyFill="0" applyBorder="0" applyAlignment="0" applyProtection="0"/>
    <xf numFmtId="180" fontId="49" fillId="102" borderId="0" applyNumberFormat="0" applyFont="0" applyBorder="0" applyAlignment="0" applyProtection="0"/>
    <xf numFmtId="333" fontId="44" fillId="46" borderId="0"/>
    <xf numFmtId="334" fontId="20" fillId="46" borderId="0" applyFill="0"/>
    <xf numFmtId="180" fontId="194" fillId="0" borderId="0">
      <alignment horizontal="left" indent="7"/>
    </xf>
    <xf numFmtId="180" fontId="20" fillId="0" borderId="0" applyFill="0">
      <alignment horizontal="left" indent="7"/>
    </xf>
    <xf numFmtId="334" fontId="64" fillId="0" borderId="28">
      <alignment horizontal="right"/>
    </xf>
    <xf numFmtId="180" fontId="64" fillId="0" borderId="26" applyNumberFormat="0" applyFont="0" applyBorder="0">
      <alignment horizontal="right"/>
    </xf>
    <xf numFmtId="180" fontId="195" fillId="0" borderId="0" applyFill="0"/>
    <xf numFmtId="180" fontId="64" fillId="0" borderId="0" applyFill="0"/>
    <xf numFmtId="334" fontId="17" fillId="0" borderId="28" applyFill="0"/>
    <xf numFmtId="180" fontId="9" fillId="0" borderId="0" applyNumberFormat="0" applyFont="0" applyBorder="0" applyAlignment="0"/>
    <xf numFmtId="180" fontId="196" fillId="0" borderId="0" applyFill="0">
      <alignment horizontal="left" indent="1"/>
    </xf>
    <xf numFmtId="180" fontId="17" fillId="0" borderId="0">
      <alignment horizontal="left" indent="1"/>
    </xf>
    <xf numFmtId="334" fontId="64" fillId="0" borderId="28" applyFill="0"/>
    <xf numFmtId="180" fontId="9" fillId="0" borderId="0" applyNumberFormat="0" applyFont="0" applyFill="0" applyBorder="0" applyAlignment="0"/>
    <xf numFmtId="180" fontId="195" fillId="0" borderId="0" applyFill="0">
      <alignment horizontal="left" indent="2"/>
    </xf>
    <xf numFmtId="180" fontId="64" fillId="0" borderId="0" applyFill="0">
      <alignment horizontal="left" indent="2"/>
    </xf>
    <xf numFmtId="334" fontId="17" fillId="0" borderId="28" applyFill="0"/>
    <xf numFmtId="180" fontId="9" fillId="0" borderId="0" applyNumberFormat="0" applyFont="0" applyBorder="0" applyAlignment="0"/>
    <xf numFmtId="180" fontId="196" fillId="0" borderId="0">
      <alignment horizontal="left" indent="3"/>
    </xf>
    <xf numFmtId="180" fontId="17" fillId="0" borderId="0" applyFill="0">
      <alignment horizontal="left" indent="3"/>
    </xf>
    <xf numFmtId="334" fontId="64" fillId="0" borderId="28" applyFill="0"/>
    <xf numFmtId="180" fontId="9" fillId="0" borderId="0" applyNumberFormat="0" applyFont="0" applyBorder="0" applyAlignment="0"/>
    <xf numFmtId="180" fontId="195" fillId="0" borderId="0">
      <alignment horizontal="left" indent="4"/>
    </xf>
    <xf numFmtId="180" fontId="64" fillId="0" borderId="0" applyFill="0">
      <alignment horizontal="left" indent="4"/>
    </xf>
    <xf numFmtId="334" fontId="17" fillId="0" borderId="28" applyFill="0"/>
    <xf numFmtId="180" fontId="9" fillId="0" borderId="0" applyNumberFormat="0" applyFont="0" applyBorder="0" applyAlignment="0"/>
    <xf numFmtId="180" fontId="196" fillId="0" borderId="0">
      <alignment horizontal="left" indent="5"/>
    </xf>
    <xf numFmtId="180" fontId="17" fillId="0" borderId="0" applyFill="0">
      <alignment horizontal="left" indent="5"/>
    </xf>
    <xf numFmtId="334" fontId="64" fillId="0" borderId="28" applyFill="0"/>
    <xf numFmtId="180" fontId="9" fillId="0" borderId="0" applyNumberFormat="0" applyFont="0" applyFill="0" applyBorder="0" applyAlignment="0"/>
    <xf numFmtId="180"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9"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336" fontId="24" fillId="0" borderId="0">
      <protection locked="0"/>
    </xf>
    <xf numFmtId="338" fontId="199"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0"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0" fontId="207" fillId="110" borderId="0"/>
    <xf numFmtId="180" fontId="78" fillId="0" borderId="0"/>
    <xf numFmtId="38" fontId="49" fillId="0" borderId="0" applyFont="0" applyFill="0" applyBorder="0" applyAlignment="0" applyProtection="0"/>
    <xf numFmtId="40" fontId="146" fillId="0" borderId="0" applyFont="0" applyFill="0" applyBorder="0" applyAlignment="0" applyProtection="0"/>
    <xf numFmtId="317" fontId="55" fillId="111" borderId="0" applyFont="0"/>
    <xf numFmtId="180"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0" fontId="49" fillId="0" borderId="0">
      <alignment textRotation="90"/>
    </xf>
    <xf numFmtId="0" fontId="98" fillId="81" borderId="0" applyAlignment="0" applyProtection="0">
      <alignment horizontal="right" vertical="center"/>
    </xf>
    <xf numFmtId="190"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0"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0" fontId="9" fillId="0" borderId="0">
      <alignment vertical="top"/>
    </xf>
    <xf numFmtId="180" fontId="210" fillId="50" borderId="0" applyNumberFormat="0" applyProtection="0">
      <alignment horizontal="center" vertical="center"/>
    </xf>
    <xf numFmtId="4" fontId="18" fillId="50" borderId="0" applyProtection="0">
      <alignment horizontal="center" vertical="center"/>
    </xf>
    <xf numFmtId="180" fontId="211" fillId="50" borderId="0" applyNumberFormat="0" applyProtection="0">
      <alignment horizontal="center" vertical="center"/>
    </xf>
    <xf numFmtId="4" fontId="20" fillId="50" borderId="0" applyProtection="0">
      <alignment horizontal="center" vertical="center"/>
    </xf>
    <xf numFmtId="180" fontId="212" fillId="113" borderId="0" applyNumberFormat="0" applyProtection="0">
      <alignment horizontal="center" vertical="center"/>
    </xf>
    <xf numFmtId="4" fontId="22" fillId="113" borderId="0" applyProtection="0">
      <alignment horizontal="center" vertical="center"/>
    </xf>
    <xf numFmtId="180" fontId="209" fillId="50" borderId="0" applyNumberFormat="0" applyProtection="0">
      <alignment horizontal="center" vertical="center"/>
    </xf>
    <xf numFmtId="4" fontId="213" fillId="50" borderId="0" applyProtection="0">
      <alignment horizontal="center" vertical="center"/>
    </xf>
    <xf numFmtId="180" fontId="214" fillId="114" borderId="0" applyNumberFormat="0" applyProtection="0">
      <alignment horizontal="center" vertical="center"/>
    </xf>
    <xf numFmtId="4" fontId="61" fillId="114" borderId="0" applyProtection="0">
      <alignment horizontal="center" vertical="center"/>
    </xf>
    <xf numFmtId="180" fontId="16" fillId="50" borderId="0" applyNumberFormat="0" applyProtection="0">
      <alignment horizontal="center" vertical="center" wrapText="1"/>
    </xf>
    <xf numFmtId="180" fontId="17" fillId="50" borderId="0" applyNumberFormat="0" applyProtection="0">
      <alignment horizontal="center" vertical="center" wrapText="1"/>
    </xf>
    <xf numFmtId="180" fontId="141" fillId="113" borderId="0" applyNumberFormat="0" applyProtection="0">
      <alignment horizontal="center" vertical="center" wrapText="1"/>
    </xf>
    <xf numFmtId="180" fontId="215" fillId="50" borderId="0" applyNumberFormat="0" applyProtection="0">
      <alignment horizontal="center" vertical="center" wrapText="1"/>
    </xf>
    <xf numFmtId="180" fontId="16" fillId="50" borderId="0" applyNumberFormat="0" applyProtection="0">
      <alignment horizontal="center" vertical="center" wrapText="1"/>
    </xf>
    <xf numFmtId="4" fontId="216" fillId="50" borderId="0" applyProtection="0">
      <alignment horizontal="center" vertical="top"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41" fillId="113" borderId="0" applyNumberFormat="0" applyProtection="0">
      <alignment horizontal="center" vertical="center" wrapText="1"/>
    </xf>
    <xf numFmtId="4" fontId="218" fillId="113" borderId="0" applyProtection="0">
      <alignment horizontal="center" vertical="top" wrapText="1"/>
    </xf>
    <xf numFmtId="180" fontId="215" fillId="50" borderId="0" applyNumberFormat="0" applyProtection="0">
      <alignment horizontal="center" vertical="center" wrapText="1"/>
    </xf>
    <xf numFmtId="4" fontId="219" fillId="50" borderId="0" applyProtection="0">
      <alignment horizontal="center" vertical="top" wrapText="1"/>
    </xf>
    <xf numFmtId="180" fontId="187" fillId="114" borderId="0" applyNumberFormat="0" applyProtection="0">
      <alignment horizontal="center" vertical="center" wrapText="1"/>
    </xf>
    <xf numFmtId="4" fontId="220" fillId="114" borderId="0" applyProtection="0">
      <alignment horizontal="center" vertical="top" wrapText="1"/>
    </xf>
    <xf numFmtId="180"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0" fontId="221" fillId="0" borderId="0"/>
    <xf numFmtId="180" fontId="222" fillId="40" borderId="0"/>
    <xf numFmtId="180" fontId="223" fillId="0" borderId="0">
      <alignment horizontal="left" vertical="center"/>
    </xf>
    <xf numFmtId="252" fontId="78" fillId="0" borderId="0"/>
    <xf numFmtId="180" fontId="107" fillId="0" borderId="0"/>
    <xf numFmtId="180"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0" fontId="226" fillId="0" borderId="0" applyBorder="0" applyProtection="0">
      <alignment vertical="center"/>
    </xf>
    <xf numFmtId="180" fontId="226" fillId="0" borderId="9" applyBorder="0" applyProtection="0">
      <alignment horizontal="right" vertical="center"/>
    </xf>
    <xf numFmtId="180" fontId="227" fillId="115" borderId="0" applyBorder="0" applyProtection="0">
      <alignment horizontal="centerContinuous" vertical="center"/>
    </xf>
    <xf numFmtId="180" fontId="227" fillId="114" borderId="9" applyBorder="0" applyProtection="0">
      <alignment horizontal="centerContinuous" vertical="center"/>
    </xf>
    <xf numFmtId="180" fontId="228" fillId="0" borderId="0"/>
    <xf numFmtId="180" fontId="169" fillId="0" borderId="0"/>
    <xf numFmtId="180" fontId="229" fillId="0" borderId="0" applyFill="0" applyBorder="0" applyProtection="0">
      <alignment horizontal="left"/>
    </xf>
    <xf numFmtId="180" fontId="114" fillId="0" borderId="10" applyFill="0" applyBorder="0" applyProtection="0">
      <alignment horizontal="left" vertical="top"/>
    </xf>
    <xf numFmtId="180" fontId="230" fillId="0" borderId="0">
      <alignment horizontal="centerContinuous"/>
    </xf>
    <xf numFmtId="49" fontId="231" fillId="0" borderId="0"/>
    <xf numFmtId="49" fontId="41" fillId="0" borderId="0" applyFont="0" applyFill="0" applyBorder="0" applyAlignment="0" applyProtection="0"/>
    <xf numFmtId="180" fontId="232" fillId="0" borderId="0"/>
    <xf numFmtId="49" fontId="41" fillId="0" borderId="0" applyFont="0" applyFill="0" applyBorder="0" applyAlignment="0" applyProtection="0"/>
    <xf numFmtId="180"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5" fillId="0" borderId="0" applyNumberFormat="0" applyFill="0" applyBorder="0" applyAlignment="0" applyProtection="0"/>
    <xf numFmtId="0" fontId="9" fillId="0" borderId="0" applyNumberFormat="0" applyFont="0" applyFill="0" applyBorder="0" applyAlignment="0" applyProtection="0"/>
    <xf numFmtId="180" fontId="236" fillId="36" borderId="0">
      <alignment horizontal="right"/>
    </xf>
    <xf numFmtId="173" fontId="182" fillId="0" borderId="0"/>
    <xf numFmtId="180" fontId="237" fillId="0" borderId="0"/>
    <xf numFmtId="341" fontId="238" fillId="0" borderId="0"/>
    <xf numFmtId="193" fontId="9" fillId="0" borderId="53" applyNumberFormat="0" applyFont="0" applyFill="0" applyAlignment="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9" fillId="0" borderId="56" applyNumberFormat="0" applyFill="0" applyAlignment="0" applyProtection="0"/>
    <xf numFmtId="189"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5" fontId="92" fillId="0" borderId="58" applyAlignment="0"/>
    <xf numFmtId="316" fontId="92" fillId="0" borderId="58" applyAlignment="0"/>
    <xf numFmtId="173" fontId="51" fillId="0" borderId="58"/>
    <xf numFmtId="342" fontId="54" fillId="0" borderId="0" applyFont="0" applyFill="0" applyBorder="0" applyAlignment="0" applyProtection="0">
      <alignment horizontal="right"/>
    </xf>
    <xf numFmtId="180"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0" fontId="9" fillId="0" borderId="0">
      <alignment vertical="top"/>
    </xf>
    <xf numFmtId="180" fontId="241" fillId="0" borderId="0" applyFont="0" applyFill="0" applyBorder="0" applyAlignment="0" applyProtection="0"/>
    <xf numFmtId="245"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4" fontId="53" fillId="0" borderId="0"/>
    <xf numFmtId="180" fontId="242" fillId="0" borderId="0"/>
    <xf numFmtId="346" fontId="9" fillId="0" borderId="0" applyFont="0" applyFill="0" applyBorder="0" applyAlignment="0" applyProtection="0"/>
    <xf numFmtId="256"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0" fontId="9" fillId="0" borderId="0"/>
    <xf numFmtId="0" fontId="9" fillId="0" borderId="0"/>
    <xf numFmtId="167" fontId="7" fillId="43" borderId="26">
      <alignment vertical="center"/>
    </xf>
    <xf numFmtId="0" fontId="10" fillId="0" borderId="0"/>
    <xf numFmtId="0" fontId="12" fillId="0" borderId="0"/>
    <xf numFmtId="167" fontId="7" fillId="3" borderId="26">
      <alignment vertical="center"/>
      <protection locked="0"/>
    </xf>
    <xf numFmtId="0" fontId="12" fillId="0" borderId="0"/>
    <xf numFmtId="0" fontId="28" fillId="0" borderId="0"/>
    <xf numFmtId="168" fontId="266" fillId="0" borderId="0" applyFill="0" applyBorder="0">
      <alignment vertical="center"/>
    </xf>
    <xf numFmtId="10" fontId="36" fillId="0" borderId="0" applyFont="0" applyFill="0" applyBorder="0" applyAlignment="0" applyProtection="0">
      <alignment vertical="center"/>
    </xf>
    <xf numFmtId="164" fontId="7" fillId="0" borderId="0" applyFont="0" applyFill="0" applyBorder="0" applyAlignment="0" applyProtection="0"/>
    <xf numFmtId="164" fontId="6" fillId="0" borderId="0" applyFont="0" applyFill="0" applyBorder="0" applyAlignment="0" applyProtection="0"/>
    <xf numFmtId="171" fontId="7" fillId="101" borderId="26">
      <alignment vertical="center"/>
    </xf>
    <xf numFmtId="10" fontId="36" fillId="0" borderId="0" applyFont="0" applyFill="0" applyBorder="0" applyAlignment="0" applyProtection="0">
      <alignment vertical="center"/>
    </xf>
    <xf numFmtId="350" fontId="9" fillId="0" borderId="0"/>
    <xf numFmtId="350" fontId="9" fillId="0" borderId="0"/>
    <xf numFmtId="350" fontId="12" fillId="0" borderId="0"/>
    <xf numFmtId="350" fontId="9"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2" fillId="0" borderId="0"/>
    <xf numFmtId="350" fontId="12" fillId="0" borderId="0"/>
    <xf numFmtId="350" fontId="12" fillId="0" borderId="0"/>
    <xf numFmtId="350" fontId="9" fillId="0" borderId="0"/>
    <xf numFmtId="350" fontId="12" fillId="0" borderId="0"/>
    <xf numFmtId="350" fontId="9" fillId="0" borderId="0"/>
    <xf numFmtId="350" fontId="12"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48"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48" fillId="0" borderId="0"/>
    <xf numFmtId="350" fontId="9" fillId="0" borderId="0" applyFont="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lignment vertical="center"/>
    </xf>
    <xf numFmtId="350" fontId="12" fillId="0" borderId="0"/>
    <xf numFmtId="350" fontId="12" fillId="0" borderId="0"/>
    <xf numFmtId="350" fontId="12" fillId="0" borderId="0"/>
    <xf numFmtId="350" fontId="12" fillId="0" borderId="0"/>
    <xf numFmtId="350" fontId="9" fillId="0" borderId="0">
      <alignment vertical="center"/>
    </xf>
    <xf numFmtId="350" fontId="9" fillId="0" borderId="0">
      <alignment vertical="center"/>
    </xf>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12" fillId="0" borderId="0">
      <alignment vertical="justify"/>
    </xf>
    <xf numFmtId="350" fontId="18" fillId="30" borderId="0" applyNumberFormat="0" applyBorder="0" applyAlignment="0" applyProtection="0"/>
    <xf numFmtId="350" fontId="18" fillId="30" borderId="0" applyNumberFormat="0" applyBorder="0" applyAlignment="0" applyProtection="0"/>
    <xf numFmtId="350" fontId="18" fillId="19" borderId="0" applyNumberFormat="0" applyBorder="0" applyAlignment="0" applyProtection="0"/>
    <xf numFmtId="350" fontId="18" fillId="19" borderId="0" applyNumberFormat="0" applyBorder="0" applyAlignment="0" applyProtection="0"/>
    <xf numFmtId="350" fontId="18" fillId="27" borderId="0" applyNumberFormat="0" applyBorder="0" applyAlignment="0" applyProtection="0"/>
    <xf numFmtId="350" fontId="18" fillId="27" borderId="0" applyNumberFormat="0" applyBorder="0" applyAlignment="0" applyProtection="0"/>
    <xf numFmtId="350" fontId="18" fillId="120" borderId="0" applyNumberFormat="0" applyBorder="0" applyAlignment="0" applyProtection="0"/>
    <xf numFmtId="350" fontId="18" fillId="120" borderId="0" applyNumberFormat="0" applyBorder="0" applyAlignment="0" applyProtection="0"/>
    <xf numFmtId="350" fontId="18" fillId="30" borderId="0" applyNumberFormat="0" applyBorder="0" applyAlignment="0" applyProtection="0"/>
    <xf numFmtId="350" fontId="18" fillId="30" borderId="0" applyNumberFormat="0" applyBorder="0" applyAlignment="0" applyProtection="0"/>
    <xf numFmtId="350" fontId="18" fillId="60" borderId="0" applyNumberFormat="0" applyBorder="0" applyAlignment="0" applyProtection="0"/>
    <xf numFmtId="350" fontId="18" fillId="60" borderId="0" applyNumberFormat="0" applyBorder="0" applyAlignment="0" applyProtection="0"/>
    <xf numFmtId="350" fontId="18" fillId="61" borderId="0" applyNumberFormat="0" applyBorder="0" applyAlignment="0" applyProtection="0"/>
    <xf numFmtId="350" fontId="18" fillId="61" borderId="0" applyNumberFormat="0" applyBorder="0" applyAlignment="0" applyProtection="0"/>
    <xf numFmtId="350" fontId="18" fillId="19" borderId="0" applyNumberFormat="0" applyBorder="0" applyAlignment="0" applyProtection="0"/>
    <xf numFmtId="350" fontId="18" fillId="19" borderId="0" applyNumberFormat="0" applyBorder="0" applyAlignment="0" applyProtection="0"/>
    <xf numFmtId="350" fontId="18" fillId="26" borderId="0" applyNumberFormat="0" applyBorder="0" applyAlignment="0" applyProtection="0"/>
    <xf numFmtId="350" fontId="18" fillId="26" borderId="0" applyNumberFormat="0" applyBorder="0" applyAlignment="0" applyProtection="0"/>
    <xf numFmtId="350" fontId="18" fillId="121" borderId="0" applyNumberFormat="0" applyBorder="0" applyAlignment="0" applyProtection="0"/>
    <xf numFmtId="350" fontId="18" fillId="121" borderId="0" applyNumberFormat="0" applyBorder="0" applyAlignment="0" applyProtection="0"/>
    <xf numFmtId="350" fontId="18" fillId="31" borderId="0" applyNumberFormat="0" applyBorder="0" applyAlignment="0" applyProtection="0"/>
    <xf numFmtId="350" fontId="18" fillId="31" borderId="0" applyNumberFormat="0" applyBorder="0" applyAlignment="0" applyProtection="0"/>
    <xf numFmtId="350" fontId="18" fillId="60" borderId="0" applyNumberFormat="0" applyBorder="0" applyAlignment="0" applyProtection="0"/>
    <xf numFmtId="350" fontId="18" fillId="60" borderId="0" applyNumberFormat="0" applyBorder="0" applyAlignment="0" applyProtection="0"/>
    <xf numFmtId="350" fontId="61" fillId="122" borderId="0" applyNumberFormat="0" applyBorder="0" applyAlignment="0" applyProtection="0"/>
    <xf numFmtId="350" fontId="61" fillId="122" borderId="0" applyNumberFormat="0" applyBorder="0" applyAlignment="0" applyProtection="0"/>
    <xf numFmtId="350" fontId="61" fillId="19" borderId="0" applyNumberFormat="0" applyBorder="0" applyAlignment="0" applyProtection="0"/>
    <xf numFmtId="350" fontId="61" fillId="19" borderId="0" applyNumberFormat="0" applyBorder="0" applyAlignment="0" applyProtection="0"/>
    <xf numFmtId="350" fontId="61" fillId="26" borderId="0" applyNumberFormat="0" applyBorder="0" applyAlignment="0" applyProtection="0"/>
    <xf numFmtId="350" fontId="61" fillId="26" borderId="0" applyNumberFormat="0" applyBorder="0" applyAlignment="0" applyProtection="0"/>
    <xf numFmtId="350" fontId="61" fillId="121" borderId="0" applyNumberFormat="0" applyBorder="0" applyAlignment="0" applyProtection="0"/>
    <xf numFmtId="350" fontId="61" fillId="121" borderId="0" applyNumberFormat="0" applyBorder="0" applyAlignment="0" applyProtection="0"/>
    <xf numFmtId="350" fontId="61" fillId="122" borderId="0" applyNumberFormat="0" applyBorder="0" applyAlignment="0" applyProtection="0"/>
    <xf numFmtId="350" fontId="61" fillId="122" borderId="0" applyNumberFormat="0" applyBorder="0" applyAlignment="0" applyProtection="0"/>
    <xf numFmtId="350" fontId="61" fillId="23" borderId="0" applyNumberFormat="0" applyBorder="0" applyAlignment="0" applyProtection="0"/>
    <xf numFmtId="350" fontId="61" fillId="23" borderId="0" applyNumberFormat="0" applyBorder="0" applyAlignment="0" applyProtection="0"/>
    <xf numFmtId="350" fontId="13" fillId="65" borderId="0" applyNumberFormat="0" applyBorder="0" applyAlignment="0" applyProtection="0"/>
    <xf numFmtId="350" fontId="13" fillId="12" borderId="0" applyNumberFormat="0" applyBorder="0" applyAlignment="0" applyProtection="0"/>
    <xf numFmtId="350" fontId="14" fillId="123" borderId="0" applyNumberFormat="0" applyBorder="0" applyAlignment="0" applyProtection="0"/>
    <xf numFmtId="350" fontId="14" fillId="66" borderId="0" applyNumberFormat="0" applyBorder="0" applyAlignment="0" applyProtection="0"/>
    <xf numFmtId="350" fontId="14" fillId="66" borderId="0" applyNumberFormat="0" applyBorder="0" applyAlignment="0" applyProtection="0"/>
    <xf numFmtId="350" fontId="13" fillId="68" borderId="0" applyNumberFormat="0" applyBorder="0" applyAlignment="0" applyProtection="0"/>
    <xf numFmtId="350" fontId="13" fillId="11" borderId="0" applyNumberFormat="0" applyBorder="0" applyAlignment="0" applyProtection="0"/>
    <xf numFmtId="350" fontId="14" fillId="8" borderId="0" applyNumberFormat="0" applyBorder="0" applyAlignment="0" applyProtection="0"/>
    <xf numFmtId="350" fontId="14" fillId="69" borderId="0" applyNumberFormat="0" applyBorder="0" applyAlignment="0" applyProtection="0"/>
    <xf numFmtId="350" fontId="14" fillId="69" borderId="0" applyNumberFormat="0" applyBorder="0" applyAlignment="0" applyProtection="0"/>
    <xf numFmtId="350" fontId="13" fillId="70" borderId="0" applyNumberFormat="0" applyBorder="0" applyAlignment="0" applyProtection="0"/>
    <xf numFmtId="350" fontId="13" fillId="71" borderId="0" applyNumberFormat="0" applyBorder="0" applyAlignment="0" applyProtection="0"/>
    <xf numFmtId="350" fontId="14" fillId="124" borderId="0" applyNumberFormat="0" applyBorder="0" applyAlignment="0" applyProtection="0"/>
    <xf numFmtId="350" fontId="14" fillId="125" borderId="0" applyNumberFormat="0" applyBorder="0" applyAlignment="0" applyProtection="0"/>
    <xf numFmtId="350" fontId="14" fillId="125" borderId="0" applyNumberFormat="0" applyBorder="0" applyAlignment="0" applyProtection="0"/>
    <xf numFmtId="350" fontId="13" fillId="68" borderId="0" applyNumberFormat="0" applyBorder="0" applyAlignment="0" applyProtection="0"/>
    <xf numFmtId="350" fontId="13" fillId="9" borderId="0" applyNumberFormat="0" applyBorder="0" applyAlignment="0" applyProtection="0"/>
    <xf numFmtId="350" fontId="14" fillId="11" borderId="0" applyNumberFormat="0" applyBorder="0" applyAlignment="0" applyProtection="0"/>
    <xf numFmtId="350" fontId="14" fillId="126" borderId="0" applyNumberFormat="0" applyBorder="0" applyAlignment="0" applyProtection="0"/>
    <xf numFmtId="350" fontId="14" fillId="126" borderId="0" applyNumberFormat="0" applyBorder="0" applyAlignment="0" applyProtection="0"/>
    <xf numFmtId="350" fontId="13" fillId="10" borderId="0" applyNumberFormat="0" applyBorder="0" applyAlignment="0" applyProtection="0"/>
    <xf numFmtId="350" fontId="13" fillId="5" borderId="0" applyNumberFormat="0" applyBorder="0" applyAlignment="0" applyProtection="0"/>
    <xf numFmtId="350" fontId="14" fillId="123" borderId="0" applyNumberFormat="0" applyBorder="0" applyAlignment="0" applyProtection="0"/>
    <xf numFmtId="350" fontId="14" fillId="123" borderId="0" applyNumberFormat="0" applyBorder="0" applyAlignment="0" applyProtection="0"/>
    <xf numFmtId="350" fontId="14" fillId="123" borderId="0" applyNumberFormat="0" applyBorder="0" applyAlignment="0" applyProtection="0"/>
    <xf numFmtId="350" fontId="13" fillId="13" borderId="0" applyNumberFormat="0" applyBorder="0" applyAlignment="0" applyProtection="0"/>
    <xf numFmtId="350" fontId="13" fillId="14" borderId="0" applyNumberFormat="0" applyBorder="0" applyAlignment="0" applyProtection="0"/>
    <xf numFmtId="350" fontId="14" fillId="127" borderId="0" applyNumberFormat="0" applyBorder="0" applyAlignment="0" applyProtection="0"/>
    <xf numFmtId="350" fontId="14" fillId="128" borderId="0" applyNumberFormat="0" applyBorder="0" applyAlignment="0" applyProtection="0"/>
    <xf numFmtId="350" fontId="14" fillId="128" borderId="0" applyNumberFormat="0" applyBorder="0" applyAlignment="0" applyProtection="0"/>
    <xf numFmtId="350" fontId="267" fillId="13" borderId="0" applyNumberFormat="0" applyBorder="0" applyAlignment="0" applyProtection="0"/>
    <xf numFmtId="350" fontId="267" fillId="13" borderId="0" applyNumberFormat="0" applyBorder="0" applyAlignment="0" applyProtection="0"/>
    <xf numFmtId="350" fontId="268" fillId="129" borderId="128" applyNumberFormat="0" applyAlignment="0" applyProtection="0"/>
    <xf numFmtId="350" fontId="268" fillId="129" borderId="128" applyNumberFormat="0" applyAlignment="0" applyProtection="0"/>
    <xf numFmtId="350" fontId="90" fillId="126" borderId="15" applyNumberFormat="0" applyAlignment="0" applyProtection="0"/>
    <xf numFmtId="350" fontId="90" fillId="126" borderId="15" applyNumberFormat="0" applyAlignment="0" applyProtection="0"/>
    <xf numFmtId="37" fontId="64" fillId="0" borderId="89">
      <alignment horizontal="center"/>
    </xf>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50" fontId="15" fillId="130" borderId="0" applyNumberFormat="0" applyBorder="0" applyAlignment="0" applyProtection="0"/>
    <xf numFmtId="350" fontId="15" fillId="131" borderId="0" applyNumberFormat="0" applyBorder="0" applyAlignment="0" applyProtection="0"/>
    <xf numFmtId="350" fontId="15" fillId="17" borderId="0" applyNumberFormat="0" applyBorder="0" applyAlignment="0" applyProtection="0"/>
    <xf numFmtId="350" fontId="49" fillId="0" borderId="0" applyFont="0" applyFill="0" applyBorder="0" applyAlignment="0" applyProtection="0"/>
    <xf numFmtId="350" fontId="269" fillId="0" borderId="0" applyNumberFormat="0" applyFill="0" applyBorder="0" applyAlignment="0" applyProtection="0"/>
    <xf numFmtId="350" fontId="269" fillId="0" borderId="0" applyNumberFormat="0" applyFill="0" applyBorder="0" applyAlignment="0" applyProtection="0"/>
    <xf numFmtId="350" fontId="13" fillId="71" borderId="0" applyNumberFormat="0" applyBorder="0" applyAlignment="0" applyProtection="0"/>
    <xf numFmtId="350" fontId="13" fillId="71" borderId="0" applyNumberForma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122" fillId="0" borderId="29" applyNumberFormat="0" applyFill="0" applyAlignment="0" applyProtection="0"/>
    <xf numFmtId="350" fontId="122" fillId="0" borderId="29" applyNumberFormat="0" applyFill="0" applyAlignment="0" applyProtection="0"/>
    <xf numFmtId="350" fontId="125" fillId="0" borderId="129" applyNumberFormat="0" applyFill="0" applyAlignment="0" applyProtection="0"/>
    <xf numFmtId="350" fontId="125" fillId="0" borderId="129" applyNumberFormat="0" applyFill="0" applyAlignment="0" applyProtection="0"/>
    <xf numFmtId="350" fontId="128" fillId="0" borderId="130" applyNumberFormat="0" applyFill="0" applyAlignment="0" applyProtection="0"/>
    <xf numFmtId="350" fontId="128" fillId="0" borderId="130" applyNumberFormat="0" applyFill="0" applyAlignment="0" applyProtection="0"/>
    <xf numFmtId="350" fontId="128" fillId="0" borderId="0" applyNumberFormat="0" applyFill="0" applyBorder="0" applyAlignment="0" applyProtection="0"/>
    <xf numFmtId="350" fontId="128" fillId="0" borderId="0" applyNumberFormat="0" applyFill="0" applyBorder="0" applyAlignment="0" applyProtection="0"/>
    <xf numFmtId="350" fontId="142" fillId="14" borderId="128" applyNumberFormat="0" applyAlignment="0" applyProtection="0"/>
    <xf numFmtId="350" fontId="142" fillId="14" borderId="128" applyNumberFormat="0" applyAlignment="0" applyProtection="0"/>
    <xf numFmtId="350" fontId="145" fillId="34" borderId="0"/>
    <xf numFmtId="350" fontId="118" fillId="0" borderId="131" applyNumberFormat="0" applyFill="0" applyAlignment="0" applyProtection="0"/>
    <xf numFmtId="350" fontId="118" fillId="0" borderId="131" applyNumberFormat="0" applyFill="0" applyAlignment="0" applyProtection="0"/>
    <xf numFmtId="350" fontId="118" fillId="14" borderId="0" applyNumberFormat="0" applyBorder="0" applyAlignment="0" applyProtection="0"/>
    <xf numFmtId="350" fontId="118" fillId="14" borderId="0" applyNumberFormat="0" applyBorder="0" applyAlignment="0" applyProtection="0"/>
    <xf numFmtId="350" fontId="24" fillId="0" borderId="0"/>
    <xf numFmtId="350" fontId="24" fillId="0" borderId="0"/>
    <xf numFmtId="350" fontId="24" fillId="0" borderId="0"/>
    <xf numFmtId="350" fontId="24" fillId="0" borderId="0"/>
    <xf numFmtId="350" fontId="24" fillId="0" borderId="0"/>
    <xf numFmtId="350" fontId="9" fillId="0" borderId="0"/>
    <xf numFmtId="350" fontId="9" fillId="0" borderId="0"/>
    <xf numFmtId="350" fontId="9" fillId="0" borderId="0"/>
    <xf numFmtId="350" fontId="9" fillId="0" borderId="0"/>
    <xf numFmtId="0" fontId="7" fillId="0" borderId="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3" fillId="0" borderId="0"/>
    <xf numFmtId="350" fontId="13" fillId="0" borderId="0" applyFill="0" applyBorder="0" applyAlignment="0" applyProtection="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7"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28" fillId="0" borderId="0"/>
    <xf numFmtId="350" fontId="6" fillId="0" borderId="0"/>
    <xf numFmtId="350" fontId="9"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6" fillId="0" borderId="0"/>
    <xf numFmtId="350" fontId="6" fillId="0" borderId="0"/>
    <xf numFmtId="350" fontId="6" fillId="0" borderId="0"/>
    <xf numFmtId="350" fontId="6" fillId="0" borderId="0"/>
    <xf numFmtId="350" fontId="6" fillId="0" borderId="0"/>
    <xf numFmtId="350" fontId="6"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6" fillId="0" borderId="0"/>
    <xf numFmtId="350" fontId="6"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13" fillId="0" borderId="0" applyFill="0" applyBorder="0" applyAlignment="0" applyProtection="0"/>
    <xf numFmtId="350" fontId="24"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2" fillId="0" borderId="0">
      <alignment vertical="top"/>
    </xf>
    <xf numFmtId="350" fontId="106" fillId="0" borderId="0" applyFill="0" applyBorder="0">
      <protection locked="0"/>
    </xf>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84" fillId="129" borderId="132" applyNumberFormat="0" applyAlignment="0" applyProtection="0"/>
    <xf numFmtId="350" fontId="184" fillId="129" borderId="13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67" fontId="24" fillId="90" borderId="26">
      <alignment vertical="center"/>
    </xf>
    <xf numFmtId="167" fontId="24" fillId="90" borderId="26">
      <alignment vertical="center"/>
    </xf>
    <xf numFmtId="350" fontId="24" fillId="90" borderId="26">
      <alignment vertical="center"/>
    </xf>
    <xf numFmtId="350" fontId="24" fillId="90" borderId="26">
      <alignment vertical="center"/>
    </xf>
    <xf numFmtId="350" fontId="24" fillId="90" borderId="26">
      <alignment vertical="center"/>
    </xf>
    <xf numFmtId="350" fontId="24" fillId="90" borderId="26">
      <alignment vertical="center"/>
    </xf>
    <xf numFmtId="171" fontId="24" fillId="90" borderId="26">
      <alignment vertical="center"/>
    </xf>
    <xf numFmtId="171" fontId="24" fillId="90" borderId="26">
      <alignment vertical="center"/>
    </xf>
    <xf numFmtId="330" fontId="24" fillId="90" borderId="26">
      <alignment vertical="center"/>
    </xf>
    <xf numFmtId="350" fontId="197" fillId="0" borderId="0"/>
    <xf numFmtId="350" fontId="24" fillId="36" borderId="26">
      <alignment vertical="center"/>
      <protection locked="0"/>
    </xf>
    <xf numFmtId="350" fontId="24" fillId="36" borderId="26">
      <alignment vertical="center"/>
      <protection locked="0"/>
    </xf>
    <xf numFmtId="350" fontId="24" fillId="36" borderId="26">
      <alignment vertical="center"/>
      <protection locked="0"/>
    </xf>
    <xf numFmtId="350" fontId="24" fillId="36" borderId="26">
      <alignment vertical="center"/>
      <protection locked="0"/>
    </xf>
    <xf numFmtId="330" fontId="24" fillId="38" borderId="26">
      <alignment vertical="center"/>
    </xf>
    <xf numFmtId="350" fontId="24" fillId="38" borderId="26">
      <alignment vertical="center"/>
    </xf>
    <xf numFmtId="350" fontId="24" fillId="38" borderId="26">
      <alignment vertical="center"/>
    </xf>
    <xf numFmtId="350" fontId="24" fillId="38" borderId="26">
      <alignment vertical="center"/>
    </xf>
    <xf numFmtId="350" fontId="24" fillId="38" borderId="26">
      <alignment vertical="center"/>
    </xf>
    <xf numFmtId="350" fontId="24" fillId="39" borderId="26">
      <alignment horizontal="right" vertical="center"/>
      <protection locked="0"/>
    </xf>
    <xf numFmtId="350"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28" applyNumberFormat="0" applyProtection="0">
      <alignment vertical="center"/>
    </xf>
    <xf numFmtId="4" fontId="270" fillId="45" borderId="128" applyNumberFormat="0" applyProtection="0">
      <alignment vertical="center"/>
    </xf>
    <xf numFmtId="4" fontId="53" fillId="45" borderId="128" applyNumberFormat="0" applyProtection="0">
      <alignment horizontal="left" vertical="center" indent="1"/>
    </xf>
    <xf numFmtId="350" fontId="271" fillId="18" borderId="133" applyNumberFormat="0" applyProtection="0">
      <alignment horizontal="left" vertical="top" indent="1"/>
    </xf>
    <xf numFmtId="4" fontId="53" fillId="64" borderId="128" applyNumberFormat="0" applyProtection="0">
      <alignment horizontal="left" vertical="center" indent="1"/>
    </xf>
    <xf numFmtId="4" fontId="53" fillId="20" borderId="128" applyNumberFormat="0" applyProtection="0">
      <alignment horizontal="right" vertical="center"/>
    </xf>
    <xf numFmtId="4" fontId="53" fillId="132" borderId="128" applyNumberFormat="0" applyProtection="0">
      <alignment horizontal="right" vertical="center"/>
    </xf>
    <xf numFmtId="4" fontId="53" fillId="22" borderId="134" applyNumberFormat="0" applyProtection="0">
      <alignment horizontal="right" vertical="center"/>
    </xf>
    <xf numFmtId="4" fontId="53" fillId="23" borderId="128" applyNumberFormat="0" applyProtection="0">
      <alignment horizontal="right" vertical="center"/>
    </xf>
    <xf numFmtId="4" fontId="53" fillId="24" borderId="128" applyNumberFormat="0" applyProtection="0">
      <alignment horizontal="right" vertical="center"/>
    </xf>
    <xf numFmtId="4" fontId="53" fillId="25" borderId="128" applyNumberFormat="0" applyProtection="0">
      <alignment horizontal="right" vertical="center"/>
    </xf>
    <xf numFmtId="4" fontId="53" fillId="26" borderId="128" applyNumberFormat="0" applyProtection="0">
      <alignment horizontal="right" vertical="center"/>
    </xf>
    <xf numFmtId="4" fontId="53" fillId="27" borderId="128" applyNumberFormat="0" applyProtection="0">
      <alignment horizontal="right" vertical="center"/>
    </xf>
    <xf numFmtId="4" fontId="53" fillId="28" borderId="128" applyNumberFormat="0" applyProtection="0">
      <alignment horizontal="right" vertical="center"/>
    </xf>
    <xf numFmtId="4" fontId="53" fillId="29" borderId="134" applyNumberFormat="0" applyProtection="0">
      <alignment horizontal="left" vertical="center" indent="1"/>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19" borderId="128" applyNumberFormat="0" applyProtection="0">
      <alignment horizontal="right" vertical="center"/>
    </xf>
    <xf numFmtId="4" fontId="53" fillId="30" borderId="134" applyNumberFormat="0" applyProtection="0">
      <alignment horizontal="left" vertical="center" indent="1"/>
    </xf>
    <xf numFmtId="4" fontId="53" fillId="19" borderId="134" applyNumberFormat="0" applyProtection="0">
      <alignment horizontal="left" vertical="center" indent="1"/>
    </xf>
    <xf numFmtId="350" fontId="53" fillId="61" borderId="128" applyNumberFormat="0" applyProtection="0">
      <alignment horizontal="left" vertical="center" indent="1"/>
    </xf>
    <xf numFmtId="350" fontId="9" fillId="31" borderId="133" applyNumberFormat="0" applyProtection="0">
      <alignment horizontal="left" vertical="center"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83" borderId="128" applyNumberFormat="0" applyProtection="0">
      <alignment horizontal="left" vertical="center" indent="1"/>
    </xf>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28" applyNumberFormat="0" applyProtection="0">
      <alignment horizontal="left" vertical="center"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9" fillId="30" borderId="133" applyNumberFormat="0" applyProtection="0">
      <alignment horizontal="left" vertical="center"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3" borderId="49" applyNumberFormat="0">
      <protection locked="0"/>
    </xf>
    <xf numFmtId="350" fontId="9" fillId="33" borderId="26"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93" fillId="31" borderId="135" applyBorder="0"/>
    <xf numFmtId="4" fontId="272" fillId="34" borderId="133" applyNumberFormat="0" applyProtection="0">
      <alignment vertical="center"/>
    </xf>
    <xf numFmtId="4" fontId="270" fillId="36" borderId="26" applyNumberFormat="0" applyProtection="0">
      <alignment vertical="center"/>
    </xf>
    <xf numFmtId="4" fontId="272" fillId="61" borderId="133" applyNumberFormat="0" applyProtection="0">
      <alignment horizontal="left" vertical="center" indent="1"/>
    </xf>
    <xf numFmtId="350" fontId="272" fillId="34" borderId="133" applyNumberFormat="0" applyProtection="0">
      <alignment horizontal="left" vertical="top" indent="1"/>
    </xf>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350" fontId="272" fillId="19" borderId="133" applyNumberFormat="0" applyProtection="0">
      <alignment horizontal="left" vertical="top" indent="1"/>
    </xf>
    <xf numFmtId="4" fontId="273" fillId="35" borderId="134" applyNumberFormat="0" applyProtection="0">
      <alignment horizontal="left" vertical="center" indent="1"/>
    </xf>
    <xf numFmtId="350" fontId="53" fillId="109" borderId="26"/>
    <xf numFmtId="4" fontId="274" fillId="33" borderId="128" applyNumberFormat="0" applyProtection="0">
      <alignment horizontal="right" vertical="center"/>
    </xf>
    <xf numFmtId="350" fontId="23" fillId="0" borderId="0" applyNumberFormat="0" applyFill="0" applyBorder="0" applyAlignment="0" applyProtection="0"/>
    <xf numFmtId="350" fontId="9" fillId="0" borderId="0" applyFont="0" applyFill="0" applyBorder="0" applyAlignment="0" applyProtection="0"/>
    <xf numFmtId="37" fontId="64" fillId="0" borderId="136" applyNumberFormat="0"/>
    <xf numFmtId="350" fontId="225" fillId="0" borderId="54" applyNumberFormat="0" applyAlignment="0" applyProtection="0"/>
    <xf numFmtId="350" fontId="23" fillId="0" borderId="0" applyNumberFormat="0" applyFill="0" applyBorder="0" applyAlignment="0" applyProtection="0"/>
    <xf numFmtId="350" fontId="23" fillId="0" borderId="0" applyNumberFormat="0" applyFill="0" applyBorder="0" applyAlignment="0" applyProtection="0"/>
    <xf numFmtId="210" fontId="64" fillId="0" borderId="28" applyFill="0"/>
    <xf numFmtId="350" fontId="15" fillId="0" borderId="137" applyNumberFormat="0" applyFill="0" applyAlignment="0" applyProtection="0"/>
    <xf numFmtId="350" fontId="15" fillId="0" borderId="137" applyNumberFormat="0" applyFill="0" applyAlignment="0" applyProtection="0"/>
    <xf numFmtId="350" fontId="275" fillId="0" borderId="0" applyNumberFormat="0" applyFill="0" applyBorder="0" applyAlignment="0" applyProtection="0"/>
    <xf numFmtId="350" fontId="275" fillId="0" borderId="0" applyNumberFormat="0" applyFill="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7" fontId="7" fillId="101" borderId="26">
      <alignment vertical="center"/>
    </xf>
    <xf numFmtId="171"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210" fontId="64" fillId="0" borderId="28" applyFill="0"/>
    <xf numFmtId="0" fontId="12" fillId="0" borderId="0"/>
    <xf numFmtId="0" fontId="12" fillId="0" borderId="0"/>
    <xf numFmtId="164" fontId="7" fillId="0" borderId="0" applyFont="0" applyFill="0" applyBorder="0" applyAlignment="0" applyProtection="0"/>
    <xf numFmtId="0" fontId="12" fillId="0" borderId="0"/>
    <xf numFmtId="350" fontId="53" fillId="30" borderId="133" applyNumberFormat="0" applyProtection="0">
      <alignment horizontal="left" vertical="top" indent="1"/>
    </xf>
    <xf numFmtId="350" fontId="53" fillId="30" borderId="128" applyNumberFormat="0" applyProtection="0">
      <alignment horizontal="left" vertical="center"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center" indent="1"/>
    </xf>
    <xf numFmtId="350" fontId="53" fillId="32" borderId="128" applyNumberFormat="0" applyProtection="0">
      <alignment horizontal="left" vertical="center"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center" indent="1"/>
    </xf>
    <xf numFmtId="350" fontId="53" fillId="83" borderId="128"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350" fontId="53" fillId="61" borderId="128" applyNumberFormat="0" applyProtection="0">
      <alignment horizontal="left" vertical="center" indent="1"/>
    </xf>
    <xf numFmtId="4" fontId="53" fillId="19" borderId="134" applyNumberFormat="0" applyProtection="0">
      <alignment horizontal="left" vertical="center" indent="1"/>
    </xf>
    <xf numFmtId="4" fontId="53" fillId="30" borderId="134" applyNumberFormat="0" applyProtection="0">
      <alignment horizontal="left" vertical="center" indent="1"/>
    </xf>
    <xf numFmtId="4" fontId="53" fillId="19" borderId="128" applyNumberFormat="0" applyProtection="0">
      <alignment horizontal="right" vertical="center"/>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29" borderId="134" applyNumberFormat="0" applyProtection="0">
      <alignment horizontal="left" vertical="center" indent="1"/>
    </xf>
    <xf numFmtId="4" fontId="53" fillId="28" borderId="128" applyNumberFormat="0" applyProtection="0">
      <alignment horizontal="right" vertical="center"/>
    </xf>
    <xf numFmtId="4" fontId="53" fillId="27" borderId="128" applyNumberFormat="0" applyProtection="0">
      <alignment horizontal="right" vertical="center"/>
    </xf>
    <xf numFmtId="4" fontId="53" fillId="26" borderId="128" applyNumberFormat="0" applyProtection="0">
      <alignment horizontal="right" vertical="center"/>
    </xf>
    <xf numFmtId="4" fontId="53" fillId="25" borderId="128" applyNumberFormat="0" applyProtection="0">
      <alignment horizontal="right" vertical="center"/>
    </xf>
    <xf numFmtId="4" fontId="53" fillId="24" borderId="128" applyNumberFormat="0" applyProtection="0">
      <alignment horizontal="right" vertical="center"/>
    </xf>
    <xf numFmtId="4" fontId="53" fillId="23" borderId="128" applyNumberFormat="0" applyProtection="0">
      <alignment horizontal="right" vertical="center"/>
    </xf>
    <xf numFmtId="4" fontId="53" fillId="22" borderId="134"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350" fontId="271" fillId="18" borderId="133" applyNumberFormat="0" applyProtection="0">
      <alignment horizontal="left" vertical="top"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350" fontId="184" fillId="129" borderId="132" applyNumberFormat="0" applyAlignment="0" applyProtection="0"/>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268" fillId="129" borderId="128" applyNumberFormat="0" applyAlignment="0" applyProtection="0"/>
    <xf numFmtId="350" fontId="268" fillId="129"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28" fillId="0" borderId="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84" fillId="129" borderId="132" applyNumberFormat="0" applyAlignment="0" applyProtection="0"/>
    <xf numFmtId="350" fontId="184" fillId="129" borderId="132" applyNumberFormat="0" applyAlignment="0" applyProtection="0"/>
    <xf numFmtId="4" fontId="53" fillId="18" borderId="128" applyNumberFormat="0" applyProtection="0">
      <alignment vertical="center"/>
    </xf>
    <xf numFmtId="4" fontId="270" fillId="45" borderId="128" applyNumberFormat="0" applyProtection="0">
      <alignment vertical="center"/>
    </xf>
    <xf numFmtId="4" fontId="53" fillId="45" borderId="128" applyNumberFormat="0" applyProtection="0">
      <alignment horizontal="left" vertical="center" indent="1"/>
    </xf>
    <xf numFmtId="4" fontId="53" fillId="64" borderId="128" applyNumberFormat="0" applyProtection="0">
      <alignment horizontal="left" vertical="center" indent="1"/>
    </xf>
    <xf numFmtId="4" fontId="53" fillId="20" borderId="128" applyNumberFormat="0" applyProtection="0">
      <alignment horizontal="right" vertical="center"/>
    </xf>
    <xf numFmtId="4" fontId="53" fillId="132" borderId="128" applyNumberFormat="0" applyProtection="0">
      <alignment horizontal="right" vertical="center"/>
    </xf>
    <xf numFmtId="4" fontId="53" fillId="25" borderId="128" applyNumberFormat="0" applyProtection="0">
      <alignment horizontal="right" vertical="center"/>
    </xf>
    <xf numFmtId="4" fontId="53" fillId="27" borderId="128" applyNumberFormat="0" applyProtection="0">
      <alignment horizontal="right" vertical="center"/>
    </xf>
    <xf numFmtId="4" fontId="53" fillId="28" borderId="128" applyNumberFormat="0" applyProtection="0">
      <alignment horizontal="right" vertical="center"/>
    </xf>
    <xf numFmtId="4" fontId="53" fillId="19" borderId="128" applyNumberFormat="0" applyProtection="0">
      <alignment horizontal="right" vertical="center"/>
    </xf>
    <xf numFmtId="350" fontId="53" fillId="61" borderId="128" applyNumberFormat="0" applyProtection="0">
      <alignment horizontal="left" vertical="center" indent="1"/>
    </xf>
    <xf numFmtId="4" fontId="53" fillId="18" borderId="128" applyNumberFormat="0" applyProtection="0">
      <alignment vertical="center"/>
    </xf>
    <xf numFmtId="4" fontId="270" fillId="45" borderId="128" applyNumberFormat="0" applyProtection="0">
      <alignment vertical="center"/>
    </xf>
    <xf numFmtId="4" fontId="53" fillId="45" borderId="128" applyNumberFormat="0" applyProtection="0">
      <alignment horizontal="left" vertical="center" indent="1"/>
    </xf>
    <xf numFmtId="350" fontId="271" fillId="18" borderId="133" applyNumberFormat="0" applyProtection="0">
      <alignment horizontal="left" vertical="top" indent="1"/>
    </xf>
    <xf numFmtId="4" fontId="53" fillId="64" borderId="128" applyNumberFormat="0" applyProtection="0">
      <alignment horizontal="left" vertical="center" indent="1"/>
    </xf>
    <xf numFmtId="4" fontId="53" fillId="20" borderId="128" applyNumberFormat="0" applyProtection="0">
      <alignment horizontal="right" vertical="center"/>
    </xf>
    <xf numFmtId="4" fontId="53" fillId="132" borderId="128" applyNumberFormat="0" applyProtection="0">
      <alignment horizontal="right" vertical="center"/>
    </xf>
    <xf numFmtId="4" fontId="53" fillId="22" borderId="134" applyNumberFormat="0" applyProtection="0">
      <alignment horizontal="right" vertical="center"/>
    </xf>
    <xf numFmtId="4" fontId="53" fillId="23" borderId="128" applyNumberFormat="0" applyProtection="0">
      <alignment horizontal="right" vertical="center"/>
    </xf>
    <xf numFmtId="4" fontId="53" fillId="24" borderId="128" applyNumberFormat="0" applyProtection="0">
      <alignment horizontal="right" vertical="center"/>
    </xf>
    <xf numFmtId="4" fontId="53" fillId="25" borderId="128" applyNumberFormat="0" applyProtection="0">
      <alignment horizontal="right" vertical="center"/>
    </xf>
    <xf numFmtId="4" fontId="53" fillId="26" borderId="128" applyNumberFormat="0" applyProtection="0">
      <alignment horizontal="right" vertical="center"/>
    </xf>
    <xf numFmtId="4" fontId="53" fillId="27" borderId="128" applyNumberFormat="0" applyProtection="0">
      <alignment horizontal="right" vertical="center"/>
    </xf>
    <xf numFmtId="4" fontId="53" fillId="28" borderId="128" applyNumberFormat="0" applyProtection="0">
      <alignment horizontal="right" vertical="center"/>
    </xf>
    <xf numFmtId="4" fontId="53" fillId="29" borderId="134" applyNumberFormat="0" applyProtection="0">
      <alignment horizontal="left" vertical="center" indent="1"/>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19" borderId="128" applyNumberFormat="0" applyProtection="0">
      <alignment horizontal="right" vertical="center"/>
    </xf>
    <xf numFmtId="4" fontId="53" fillId="30" borderId="134" applyNumberFormat="0" applyProtection="0">
      <alignment horizontal="left" vertical="center" indent="1"/>
    </xf>
    <xf numFmtId="4" fontId="53" fillId="19" borderId="134" applyNumberFormat="0" applyProtection="0">
      <alignment horizontal="left" vertical="center" indent="1"/>
    </xf>
    <xf numFmtId="350" fontId="53" fillId="61" borderId="128" applyNumberFormat="0" applyProtection="0">
      <alignment horizontal="left" vertical="center" indent="1"/>
    </xf>
    <xf numFmtId="350" fontId="9" fillId="31" borderId="133" applyNumberFormat="0" applyProtection="0">
      <alignment horizontal="left" vertical="center"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83" borderId="128" applyNumberFormat="0" applyProtection="0">
      <alignment horizontal="left" vertical="center" indent="1"/>
    </xf>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28" applyNumberFormat="0" applyProtection="0">
      <alignment horizontal="left" vertical="center"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9" fillId="30" borderId="133" applyNumberFormat="0" applyProtection="0">
      <alignment horizontal="left" vertical="center"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2" borderId="128" applyNumberFormat="0" applyProtection="0">
      <alignment horizontal="left" vertical="center" indent="1"/>
    </xf>
    <xf numFmtId="350" fontId="93" fillId="31" borderId="135" applyBorder="0"/>
    <xf numFmtId="4" fontId="272" fillId="34" borderId="133" applyNumberFormat="0" applyProtection="0">
      <alignment vertical="center"/>
    </xf>
    <xf numFmtId="4" fontId="272" fillId="61" borderId="133" applyNumberFormat="0" applyProtection="0">
      <alignment horizontal="left" vertical="center" indent="1"/>
    </xf>
    <xf numFmtId="350" fontId="272" fillId="34" borderId="133" applyNumberFormat="0" applyProtection="0">
      <alignment horizontal="left" vertical="top" indent="1"/>
    </xf>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350" fontId="272" fillId="19" borderId="133" applyNumberFormat="0" applyProtection="0">
      <alignment horizontal="left" vertical="top" indent="1"/>
    </xf>
    <xf numFmtId="4" fontId="273" fillId="35" borderId="134" applyNumberFormat="0" applyProtection="0">
      <alignment horizontal="left" vertical="center" indent="1"/>
    </xf>
    <xf numFmtId="4" fontId="274" fillId="33" borderId="128" applyNumberFormat="0" applyProtection="0">
      <alignment horizontal="right" vertical="center"/>
    </xf>
    <xf numFmtId="37" fontId="64" fillId="0" borderId="136" applyNumberFormat="0"/>
    <xf numFmtId="350" fontId="15" fillId="0" borderId="137" applyNumberFormat="0" applyFill="0" applyAlignment="0" applyProtection="0"/>
    <xf numFmtId="350" fontId="15" fillId="0" borderId="137" applyNumberFormat="0" applyFill="0" applyAlignment="0" applyProtection="0"/>
    <xf numFmtId="350" fontId="9" fillId="30" borderId="133" applyNumberFormat="0" applyProtection="0">
      <alignment horizontal="left" vertical="center"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268" fillId="129" borderId="128" applyNumberFormat="0" applyAlignment="0" applyProtection="0"/>
    <xf numFmtId="350" fontId="268" fillId="129" borderId="128" applyNumberFormat="0" applyAlignment="0" applyProtection="0"/>
    <xf numFmtId="4" fontId="53" fillId="23" borderId="128" applyNumberFormat="0" applyProtection="0">
      <alignment horizontal="right" vertical="center"/>
    </xf>
    <xf numFmtId="4" fontId="53" fillId="24" borderId="128" applyNumberFormat="0" applyProtection="0">
      <alignment horizontal="right" vertical="center"/>
    </xf>
    <xf numFmtId="350" fontId="53" fillId="83" borderId="128" applyNumberFormat="0" applyProtection="0">
      <alignment horizontal="left" vertical="center" indent="1"/>
    </xf>
    <xf numFmtId="210" fontId="64" fillId="0" borderId="28" applyFill="0"/>
    <xf numFmtId="4" fontId="53" fillId="26" borderId="128" applyNumberFormat="0" applyProtection="0">
      <alignment horizontal="right" vertical="center"/>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3" fillId="31" borderId="135" applyBorder="0"/>
    <xf numFmtId="4" fontId="272" fillId="34" borderId="133" applyNumberFormat="0" applyProtection="0">
      <alignment vertical="center"/>
    </xf>
    <xf numFmtId="4" fontId="272" fillId="61" borderId="133" applyNumberFormat="0" applyProtection="0">
      <alignment horizontal="left" vertical="center" indent="1"/>
    </xf>
    <xf numFmtId="350" fontId="272" fillId="34" borderId="133" applyNumberFormat="0" applyProtection="0">
      <alignment horizontal="left" vertical="top" indent="1"/>
    </xf>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350" fontId="272" fillId="19" borderId="133" applyNumberFormat="0" applyProtection="0">
      <alignment horizontal="left" vertical="top" indent="1"/>
    </xf>
    <xf numFmtId="4" fontId="273" fillId="35" borderId="134" applyNumberFormat="0" applyProtection="0">
      <alignment horizontal="left" vertical="center" indent="1"/>
    </xf>
    <xf numFmtId="4" fontId="274" fillId="33" borderId="128" applyNumberFormat="0" applyProtection="0">
      <alignment horizontal="right" vertical="center"/>
    </xf>
    <xf numFmtId="37" fontId="64" fillId="0" borderId="136" applyNumberFormat="0"/>
    <xf numFmtId="350" fontId="15" fillId="0" borderId="137" applyNumberFormat="0" applyFill="0" applyAlignment="0" applyProtection="0"/>
    <xf numFmtId="350" fontId="15" fillId="0" borderId="137" applyNumberFormat="0" applyFill="0" applyAlignment="0" applyProtection="0"/>
    <xf numFmtId="350" fontId="53" fillId="30" borderId="128" applyNumberFormat="0" applyProtection="0">
      <alignment horizontal="left" vertical="center" indent="1"/>
    </xf>
    <xf numFmtId="350" fontId="268" fillId="129" borderId="128" applyNumberFormat="0" applyAlignment="0" applyProtection="0"/>
    <xf numFmtId="350" fontId="268" fillId="129" borderId="128" applyNumberFormat="0" applyAlignment="0" applyProtection="0"/>
    <xf numFmtId="210" fontId="64" fillId="0" borderId="28" applyFill="0"/>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4" fontId="274" fillId="33" borderId="128" applyNumberFormat="0" applyProtection="0">
      <alignment horizontal="right" vertical="center"/>
    </xf>
    <xf numFmtId="350" fontId="268" fillId="129" borderId="128" applyNumberFormat="0" applyAlignment="0" applyProtection="0"/>
    <xf numFmtId="350" fontId="268" fillId="129"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28" fillId="0" borderId="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84" fillId="129" borderId="132" applyNumberFormat="0" applyAlignment="0" applyProtection="0"/>
    <xf numFmtId="350" fontId="184" fillId="129" borderId="132" applyNumberFormat="0" applyAlignment="0" applyProtection="0"/>
    <xf numFmtId="4" fontId="53" fillId="18" borderId="128" applyNumberFormat="0" applyProtection="0">
      <alignment vertical="center"/>
    </xf>
    <xf numFmtId="4" fontId="270" fillId="45" borderId="128" applyNumberFormat="0" applyProtection="0">
      <alignment vertical="center"/>
    </xf>
    <xf numFmtId="4" fontId="53" fillId="45" borderId="128" applyNumberFormat="0" applyProtection="0">
      <alignment horizontal="left" vertical="center" indent="1"/>
    </xf>
    <xf numFmtId="350" fontId="271" fillId="18" borderId="133" applyNumberFormat="0" applyProtection="0">
      <alignment horizontal="left" vertical="top" indent="1"/>
    </xf>
    <xf numFmtId="4" fontId="53" fillId="64" borderId="128" applyNumberFormat="0" applyProtection="0">
      <alignment horizontal="left" vertical="center" indent="1"/>
    </xf>
    <xf numFmtId="4" fontId="53" fillId="20" borderId="128" applyNumberFormat="0" applyProtection="0">
      <alignment horizontal="right" vertical="center"/>
    </xf>
    <xf numFmtId="4" fontId="53" fillId="132" borderId="128" applyNumberFormat="0" applyProtection="0">
      <alignment horizontal="right" vertical="center"/>
    </xf>
    <xf numFmtId="4" fontId="53" fillId="22" borderId="134" applyNumberFormat="0" applyProtection="0">
      <alignment horizontal="right" vertical="center"/>
    </xf>
    <xf numFmtId="4" fontId="53" fillId="23" borderId="128" applyNumberFormat="0" applyProtection="0">
      <alignment horizontal="right" vertical="center"/>
    </xf>
    <xf numFmtId="4" fontId="53" fillId="24" borderId="128" applyNumberFormat="0" applyProtection="0">
      <alignment horizontal="right" vertical="center"/>
    </xf>
    <xf numFmtId="4" fontId="53" fillId="25" borderId="128" applyNumberFormat="0" applyProtection="0">
      <alignment horizontal="right" vertical="center"/>
    </xf>
    <xf numFmtId="4" fontId="53" fillId="26" borderId="128" applyNumberFormat="0" applyProtection="0">
      <alignment horizontal="right" vertical="center"/>
    </xf>
    <xf numFmtId="4" fontId="53" fillId="27" borderId="128" applyNumberFormat="0" applyProtection="0">
      <alignment horizontal="right" vertical="center"/>
    </xf>
    <xf numFmtId="4" fontId="53" fillId="28" borderId="128" applyNumberFormat="0" applyProtection="0">
      <alignment horizontal="right" vertical="center"/>
    </xf>
    <xf numFmtId="4" fontId="53" fillId="29" borderId="134" applyNumberFormat="0" applyProtection="0">
      <alignment horizontal="left" vertical="center" indent="1"/>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19" borderId="128" applyNumberFormat="0" applyProtection="0">
      <alignment horizontal="right" vertical="center"/>
    </xf>
    <xf numFmtId="4" fontId="53" fillId="30" borderId="134" applyNumberFormat="0" applyProtection="0">
      <alignment horizontal="left" vertical="center" indent="1"/>
    </xf>
    <xf numFmtId="4" fontId="53" fillId="19" borderId="134" applyNumberFormat="0" applyProtection="0">
      <alignment horizontal="left" vertical="center" indent="1"/>
    </xf>
    <xf numFmtId="350" fontId="53" fillId="61" borderId="128" applyNumberFormat="0" applyProtection="0">
      <alignment horizontal="left" vertical="center" indent="1"/>
    </xf>
    <xf numFmtId="350" fontId="9" fillId="31" borderId="133" applyNumberFormat="0" applyProtection="0">
      <alignment horizontal="left" vertical="center"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83" borderId="128" applyNumberFormat="0" applyProtection="0">
      <alignment horizontal="left" vertical="center" indent="1"/>
    </xf>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28" applyNumberFormat="0" applyProtection="0">
      <alignment horizontal="left" vertical="center"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9" fillId="30" borderId="133" applyNumberFormat="0" applyProtection="0">
      <alignment horizontal="left" vertical="center"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3" fillId="31" borderId="135" applyBorder="0"/>
    <xf numFmtId="4" fontId="272" fillId="34" borderId="133" applyNumberFormat="0" applyProtection="0">
      <alignment vertical="center"/>
    </xf>
    <xf numFmtId="4" fontId="272" fillId="61" borderId="133" applyNumberFormat="0" applyProtection="0">
      <alignment horizontal="left" vertical="center" indent="1"/>
    </xf>
    <xf numFmtId="350" fontId="272" fillId="34" borderId="133" applyNumberFormat="0" applyProtection="0">
      <alignment horizontal="left" vertical="top" indent="1"/>
    </xf>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350" fontId="272" fillId="19" borderId="133" applyNumberFormat="0" applyProtection="0">
      <alignment horizontal="left" vertical="top" indent="1"/>
    </xf>
    <xf numFmtId="4" fontId="273" fillId="35" borderId="134" applyNumberFormat="0" applyProtection="0">
      <alignment horizontal="left" vertical="center" indent="1"/>
    </xf>
    <xf numFmtId="4" fontId="274" fillId="33" borderId="128" applyNumberFormat="0" applyProtection="0">
      <alignment horizontal="right" vertical="center"/>
    </xf>
    <xf numFmtId="37" fontId="64" fillId="0" borderId="136" applyNumberFormat="0"/>
    <xf numFmtId="350" fontId="15" fillId="0" borderId="137" applyNumberFormat="0" applyFill="0" applyAlignment="0" applyProtection="0"/>
    <xf numFmtId="350" fontId="15" fillId="0" borderId="137" applyNumberFormat="0" applyFill="0" applyAlignment="0" applyProtection="0"/>
    <xf numFmtId="210" fontId="64" fillId="0" borderId="28" applyFill="0"/>
    <xf numFmtId="350" fontId="28" fillId="0" borderId="0"/>
    <xf numFmtId="350" fontId="53" fillId="30" borderId="133" applyNumberFormat="0" applyProtection="0">
      <alignment horizontal="left" vertical="top" indent="1"/>
    </xf>
    <xf numFmtId="350" fontId="53" fillId="30" borderId="128" applyNumberFormat="0" applyProtection="0">
      <alignment horizontal="left" vertical="center"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center" indent="1"/>
    </xf>
    <xf numFmtId="350" fontId="53" fillId="32" borderId="128" applyNumberFormat="0" applyProtection="0">
      <alignment horizontal="left" vertical="center"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center" indent="1"/>
    </xf>
    <xf numFmtId="350" fontId="53" fillId="83" borderId="128"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350" fontId="53" fillId="61" borderId="128" applyNumberFormat="0" applyProtection="0">
      <alignment horizontal="left" vertical="center" indent="1"/>
    </xf>
    <xf numFmtId="4" fontId="53" fillId="19" borderId="134" applyNumberFormat="0" applyProtection="0">
      <alignment horizontal="left" vertical="center" indent="1"/>
    </xf>
    <xf numFmtId="4" fontId="53" fillId="30" borderId="134" applyNumberFormat="0" applyProtection="0">
      <alignment horizontal="left" vertical="center" indent="1"/>
    </xf>
    <xf numFmtId="4" fontId="53" fillId="19" borderId="128" applyNumberFormat="0" applyProtection="0">
      <alignment horizontal="right" vertical="center"/>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29" borderId="134" applyNumberFormat="0" applyProtection="0">
      <alignment horizontal="left" vertical="center" indent="1"/>
    </xf>
    <xf numFmtId="4" fontId="53" fillId="28" borderId="128" applyNumberFormat="0" applyProtection="0">
      <alignment horizontal="right" vertical="center"/>
    </xf>
    <xf numFmtId="4" fontId="53" fillId="27" borderId="128" applyNumberFormat="0" applyProtection="0">
      <alignment horizontal="right" vertical="center"/>
    </xf>
    <xf numFmtId="4" fontId="53" fillId="26" borderId="128" applyNumberFormat="0" applyProtection="0">
      <alignment horizontal="right" vertical="center"/>
    </xf>
    <xf numFmtId="4" fontId="53" fillId="25" borderId="128" applyNumberFormat="0" applyProtection="0">
      <alignment horizontal="right" vertical="center"/>
    </xf>
    <xf numFmtId="4" fontId="53" fillId="24" borderId="128" applyNumberFormat="0" applyProtection="0">
      <alignment horizontal="right" vertical="center"/>
    </xf>
    <xf numFmtId="4" fontId="53" fillId="23" borderId="128" applyNumberFormat="0" applyProtection="0">
      <alignment horizontal="right" vertical="center"/>
    </xf>
    <xf numFmtId="4" fontId="53" fillId="22" borderId="134"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350" fontId="271" fillId="18" borderId="133" applyNumberFormat="0" applyProtection="0">
      <alignment horizontal="left" vertical="top"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350" fontId="184" fillId="129" borderId="132" applyNumberFormat="0" applyAlignment="0" applyProtection="0"/>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268" fillId="129" borderId="128" applyNumberFormat="0" applyAlignment="0" applyProtection="0"/>
    <xf numFmtId="350" fontId="268" fillId="129"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28" fillId="0" borderId="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84" fillId="129" borderId="132" applyNumberFormat="0" applyAlignment="0" applyProtection="0"/>
    <xf numFmtId="350" fontId="184" fillId="129" borderId="132" applyNumberFormat="0" applyAlignment="0" applyProtection="0"/>
    <xf numFmtId="4" fontId="53" fillId="18" borderId="128" applyNumberFormat="0" applyProtection="0">
      <alignment vertical="center"/>
    </xf>
    <xf numFmtId="4" fontId="270" fillId="45" borderId="128" applyNumberFormat="0" applyProtection="0">
      <alignment vertical="center"/>
    </xf>
    <xf numFmtId="4" fontId="53" fillId="45" borderId="128" applyNumberFormat="0" applyProtection="0">
      <alignment horizontal="left" vertical="center" indent="1"/>
    </xf>
    <xf numFmtId="4" fontId="53" fillId="64" borderId="128" applyNumberFormat="0" applyProtection="0">
      <alignment horizontal="left" vertical="center" indent="1"/>
    </xf>
    <xf numFmtId="4" fontId="53" fillId="20" borderId="128" applyNumberFormat="0" applyProtection="0">
      <alignment horizontal="right" vertical="center"/>
    </xf>
    <xf numFmtId="4" fontId="53" fillId="132" borderId="128" applyNumberFormat="0" applyProtection="0">
      <alignment horizontal="right" vertical="center"/>
    </xf>
    <xf numFmtId="4" fontId="53" fillId="25" borderId="128" applyNumberFormat="0" applyProtection="0">
      <alignment horizontal="right" vertical="center"/>
    </xf>
    <xf numFmtId="4" fontId="53" fillId="27" borderId="128" applyNumberFormat="0" applyProtection="0">
      <alignment horizontal="right" vertical="center"/>
    </xf>
    <xf numFmtId="4" fontId="53" fillId="28" borderId="128" applyNumberFormat="0" applyProtection="0">
      <alignment horizontal="right" vertical="center"/>
    </xf>
    <xf numFmtId="4" fontId="53" fillId="19" borderId="128" applyNumberFormat="0" applyProtection="0">
      <alignment horizontal="right" vertical="center"/>
    </xf>
    <xf numFmtId="350" fontId="53" fillId="61" borderId="128" applyNumberFormat="0" applyProtection="0">
      <alignment horizontal="left" vertical="center" indent="1"/>
    </xf>
    <xf numFmtId="4" fontId="53" fillId="18" borderId="128" applyNumberFormat="0" applyProtection="0">
      <alignment vertical="center"/>
    </xf>
    <xf numFmtId="4" fontId="270" fillId="45" borderId="128" applyNumberFormat="0" applyProtection="0">
      <alignment vertical="center"/>
    </xf>
    <xf numFmtId="4" fontId="53" fillId="45" borderId="128" applyNumberFormat="0" applyProtection="0">
      <alignment horizontal="left" vertical="center" indent="1"/>
    </xf>
    <xf numFmtId="350" fontId="271" fillId="18" borderId="133" applyNumberFormat="0" applyProtection="0">
      <alignment horizontal="left" vertical="top" indent="1"/>
    </xf>
    <xf numFmtId="4" fontId="53" fillId="64" borderId="128" applyNumberFormat="0" applyProtection="0">
      <alignment horizontal="left" vertical="center" indent="1"/>
    </xf>
    <xf numFmtId="4" fontId="53" fillId="20" borderId="128" applyNumberFormat="0" applyProtection="0">
      <alignment horizontal="right" vertical="center"/>
    </xf>
    <xf numFmtId="4" fontId="53" fillId="132" borderId="128" applyNumberFormat="0" applyProtection="0">
      <alignment horizontal="right" vertical="center"/>
    </xf>
    <xf numFmtId="4" fontId="53" fillId="22" borderId="134" applyNumberFormat="0" applyProtection="0">
      <alignment horizontal="right" vertical="center"/>
    </xf>
    <xf numFmtId="4" fontId="53" fillId="23" borderId="128" applyNumberFormat="0" applyProtection="0">
      <alignment horizontal="right" vertical="center"/>
    </xf>
    <xf numFmtId="4" fontId="53" fillId="24" borderId="128" applyNumberFormat="0" applyProtection="0">
      <alignment horizontal="right" vertical="center"/>
    </xf>
    <xf numFmtId="4" fontId="53" fillId="25" borderId="128" applyNumberFormat="0" applyProtection="0">
      <alignment horizontal="right" vertical="center"/>
    </xf>
    <xf numFmtId="4" fontId="53" fillId="26" borderId="128" applyNumberFormat="0" applyProtection="0">
      <alignment horizontal="right" vertical="center"/>
    </xf>
    <xf numFmtId="4" fontId="53" fillId="27" borderId="128" applyNumberFormat="0" applyProtection="0">
      <alignment horizontal="right" vertical="center"/>
    </xf>
    <xf numFmtId="4" fontId="53" fillId="28" borderId="128" applyNumberFormat="0" applyProtection="0">
      <alignment horizontal="right" vertical="center"/>
    </xf>
    <xf numFmtId="4" fontId="53" fillId="29" borderId="134" applyNumberFormat="0" applyProtection="0">
      <alignment horizontal="left" vertical="center" indent="1"/>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19" borderId="128" applyNumberFormat="0" applyProtection="0">
      <alignment horizontal="right" vertical="center"/>
    </xf>
    <xf numFmtId="4" fontId="53" fillId="30" borderId="134" applyNumberFormat="0" applyProtection="0">
      <alignment horizontal="left" vertical="center" indent="1"/>
    </xf>
    <xf numFmtId="4" fontId="53" fillId="19" borderId="134" applyNumberFormat="0" applyProtection="0">
      <alignment horizontal="left" vertical="center" indent="1"/>
    </xf>
    <xf numFmtId="350" fontId="53" fillId="61" borderId="128" applyNumberFormat="0" applyProtection="0">
      <alignment horizontal="left" vertical="center" indent="1"/>
    </xf>
    <xf numFmtId="350" fontId="9" fillId="31" borderId="133" applyNumberFormat="0" applyProtection="0">
      <alignment horizontal="left" vertical="center"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83" borderId="128" applyNumberFormat="0" applyProtection="0">
      <alignment horizontal="left" vertical="center" indent="1"/>
    </xf>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28" applyNumberFormat="0" applyProtection="0">
      <alignment horizontal="left" vertical="center"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9" fillId="30" borderId="133" applyNumberFormat="0" applyProtection="0">
      <alignment horizontal="left" vertical="center"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2" borderId="128" applyNumberFormat="0" applyProtection="0">
      <alignment horizontal="left" vertical="center" indent="1"/>
    </xf>
    <xf numFmtId="350" fontId="93" fillId="31" borderId="135" applyBorder="0"/>
    <xf numFmtId="4" fontId="272" fillId="34" borderId="133" applyNumberFormat="0" applyProtection="0">
      <alignment vertical="center"/>
    </xf>
    <xf numFmtId="4" fontId="272" fillId="61" borderId="133" applyNumberFormat="0" applyProtection="0">
      <alignment horizontal="left" vertical="center" indent="1"/>
    </xf>
    <xf numFmtId="350" fontId="272" fillId="34" borderId="133" applyNumberFormat="0" applyProtection="0">
      <alignment horizontal="left" vertical="top" indent="1"/>
    </xf>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350" fontId="272" fillId="19" borderId="133" applyNumberFormat="0" applyProtection="0">
      <alignment horizontal="left" vertical="top" indent="1"/>
    </xf>
    <xf numFmtId="4" fontId="273" fillId="35" borderId="134" applyNumberFormat="0" applyProtection="0">
      <alignment horizontal="left" vertical="center" indent="1"/>
    </xf>
    <xf numFmtId="4" fontId="274" fillId="33" borderId="128" applyNumberFormat="0" applyProtection="0">
      <alignment horizontal="right" vertical="center"/>
    </xf>
    <xf numFmtId="37" fontId="64" fillId="0" borderId="136" applyNumberFormat="0"/>
    <xf numFmtId="350" fontId="15" fillId="0" borderId="137" applyNumberFormat="0" applyFill="0" applyAlignment="0" applyProtection="0"/>
    <xf numFmtId="350" fontId="15" fillId="0" borderId="137" applyNumberFormat="0" applyFill="0" applyAlignment="0" applyProtection="0"/>
    <xf numFmtId="350" fontId="9" fillId="30" borderId="133" applyNumberFormat="0" applyProtection="0">
      <alignment horizontal="left" vertical="center"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268" fillId="129" borderId="128" applyNumberFormat="0" applyAlignment="0" applyProtection="0"/>
    <xf numFmtId="350" fontId="268" fillId="129" borderId="128" applyNumberFormat="0" applyAlignment="0" applyProtection="0"/>
    <xf numFmtId="4" fontId="53" fillId="23" borderId="128" applyNumberFormat="0" applyProtection="0">
      <alignment horizontal="right" vertical="center"/>
    </xf>
    <xf numFmtId="4" fontId="53" fillId="24" borderId="128" applyNumberFormat="0" applyProtection="0">
      <alignment horizontal="right" vertical="center"/>
    </xf>
    <xf numFmtId="350" fontId="53" fillId="83" borderId="128" applyNumberFormat="0" applyProtection="0">
      <alignment horizontal="left" vertical="center" indent="1"/>
    </xf>
    <xf numFmtId="210" fontId="64" fillId="0" borderId="28" applyFill="0"/>
    <xf numFmtId="4" fontId="53" fillId="26" borderId="128" applyNumberFormat="0" applyProtection="0">
      <alignment horizontal="right" vertical="center"/>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3" fillId="31" borderId="135" applyBorder="0"/>
    <xf numFmtId="4" fontId="272" fillId="34" borderId="133" applyNumberFormat="0" applyProtection="0">
      <alignment vertical="center"/>
    </xf>
    <xf numFmtId="4" fontId="272" fillId="61" borderId="133" applyNumberFormat="0" applyProtection="0">
      <alignment horizontal="left" vertical="center" indent="1"/>
    </xf>
    <xf numFmtId="350" fontId="272" fillId="34" borderId="133" applyNumberFormat="0" applyProtection="0">
      <alignment horizontal="left" vertical="top" indent="1"/>
    </xf>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350" fontId="272" fillId="19" borderId="133" applyNumberFormat="0" applyProtection="0">
      <alignment horizontal="left" vertical="top" indent="1"/>
    </xf>
    <xf numFmtId="4" fontId="273" fillId="35" borderId="134" applyNumberFormat="0" applyProtection="0">
      <alignment horizontal="left" vertical="center" indent="1"/>
    </xf>
    <xf numFmtId="4" fontId="274" fillId="33" borderId="128" applyNumberFormat="0" applyProtection="0">
      <alignment horizontal="right" vertical="center"/>
    </xf>
    <xf numFmtId="37" fontId="64" fillId="0" borderId="136" applyNumberFormat="0"/>
    <xf numFmtId="350" fontId="15" fillId="0" borderId="137" applyNumberFormat="0" applyFill="0" applyAlignment="0" applyProtection="0"/>
    <xf numFmtId="350" fontId="15" fillId="0" borderId="137" applyNumberFormat="0" applyFill="0" applyAlignment="0" applyProtection="0"/>
    <xf numFmtId="350" fontId="53" fillId="30" borderId="128" applyNumberFormat="0" applyProtection="0">
      <alignment horizontal="left" vertical="center" indent="1"/>
    </xf>
    <xf numFmtId="350" fontId="268" fillId="129" borderId="128" applyNumberFormat="0" applyAlignment="0" applyProtection="0"/>
    <xf numFmtId="350" fontId="268" fillId="129" borderId="128" applyNumberFormat="0" applyAlignment="0" applyProtection="0"/>
    <xf numFmtId="210" fontId="64" fillId="0" borderId="28" applyFill="0"/>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4" fontId="274" fillId="33" borderId="128" applyNumberFormat="0" applyProtection="0">
      <alignment horizontal="right" vertical="center"/>
    </xf>
    <xf numFmtId="350" fontId="53" fillId="32" borderId="133" applyNumberFormat="0" applyProtection="0">
      <alignment horizontal="left" vertical="top" indent="1"/>
    </xf>
    <xf numFmtId="4" fontId="272" fillId="61" borderId="133" applyNumberFormat="0" applyProtection="0">
      <alignment horizontal="left" vertical="center" indent="1"/>
    </xf>
    <xf numFmtId="4" fontId="272" fillId="34" borderId="133" applyNumberFormat="0" applyProtection="0">
      <alignment vertical="center"/>
    </xf>
    <xf numFmtId="350" fontId="9" fillId="32" borderId="133" applyNumberFormat="0" applyProtection="0">
      <alignment horizontal="left" vertical="top" indent="1"/>
    </xf>
    <xf numFmtId="350" fontId="53" fillId="32" borderId="128" applyNumberFormat="0" applyProtection="0">
      <alignment horizontal="left" vertical="center" indent="1"/>
    </xf>
    <xf numFmtId="350" fontId="53" fillId="31" borderId="133" applyNumberFormat="0" applyProtection="0">
      <alignment horizontal="left" vertical="top" indent="1"/>
    </xf>
    <xf numFmtId="350" fontId="53" fillId="13" borderId="128" applyNumberFormat="0" applyFont="0" applyAlignment="0" applyProtection="0"/>
    <xf numFmtId="350" fontId="53" fillId="30" borderId="133" applyNumberFormat="0" applyProtection="0">
      <alignment horizontal="left" vertical="top" indent="1"/>
    </xf>
    <xf numFmtId="350" fontId="53" fillId="19" borderId="133" applyNumberFormat="0" applyProtection="0">
      <alignment horizontal="left" vertical="top" indent="1"/>
    </xf>
    <xf numFmtId="350" fontId="268" fillId="129" borderId="128" applyNumberFormat="0" applyAlignment="0" applyProtection="0"/>
    <xf numFmtId="350" fontId="15" fillId="0" borderId="137" applyNumberFormat="0" applyFill="0" applyAlignment="0" applyProtection="0"/>
    <xf numFmtId="350" fontId="15" fillId="0" borderId="137" applyNumberFormat="0" applyFill="0" applyAlignment="0" applyProtection="0"/>
    <xf numFmtId="37" fontId="64" fillId="0" borderId="136" applyNumberFormat="0"/>
    <xf numFmtId="4" fontId="274" fillId="33" borderId="128" applyNumberFormat="0" applyProtection="0">
      <alignment horizontal="right" vertical="center"/>
    </xf>
    <xf numFmtId="4" fontId="273" fillId="35" borderId="134" applyNumberFormat="0" applyProtection="0">
      <alignment horizontal="left" vertical="center" indent="1"/>
    </xf>
    <xf numFmtId="350" fontId="272" fillId="19" borderId="133" applyNumberFormat="0" applyProtection="0">
      <alignment horizontal="left" vertical="top" indent="1"/>
    </xf>
    <xf numFmtId="4" fontId="53" fillId="64" borderId="128" applyNumberFormat="0" applyProtection="0">
      <alignment horizontal="left" vertical="center" indent="1"/>
    </xf>
    <xf numFmtId="4" fontId="270" fillId="50" borderId="128" applyNumberFormat="0" applyProtection="0">
      <alignment horizontal="right" vertical="center"/>
    </xf>
    <xf numFmtId="4" fontId="53" fillId="0" borderId="128" applyNumberFormat="0" applyProtection="0">
      <alignment horizontal="right" vertical="center"/>
    </xf>
    <xf numFmtId="350" fontId="272" fillId="34"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center"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center" indent="1"/>
    </xf>
    <xf numFmtId="350" fontId="53" fillId="83" borderId="128"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350" fontId="53" fillId="61" borderId="128" applyNumberFormat="0" applyProtection="0">
      <alignment horizontal="left" vertical="center" indent="1"/>
    </xf>
    <xf numFmtId="4" fontId="53" fillId="19" borderId="134" applyNumberFormat="0" applyProtection="0">
      <alignment horizontal="left" vertical="center" indent="1"/>
    </xf>
    <xf numFmtId="4" fontId="53" fillId="30" borderId="134" applyNumberFormat="0" applyProtection="0">
      <alignment horizontal="left" vertical="center" indent="1"/>
    </xf>
    <xf numFmtId="4" fontId="53" fillId="19" borderId="128" applyNumberFormat="0" applyProtection="0">
      <alignment horizontal="right" vertical="center"/>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29" borderId="134" applyNumberFormat="0" applyProtection="0">
      <alignment horizontal="left" vertical="center" indent="1"/>
    </xf>
    <xf numFmtId="4" fontId="53" fillId="28" borderId="128" applyNumberFormat="0" applyProtection="0">
      <alignment horizontal="right" vertical="center"/>
    </xf>
    <xf numFmtId="4" fontId="53" fillId="27" borderId="128" applyNumberFormat="0" applyProtection="0">
      <alignment horizontal="right" vertical="center"/>
    </xf>
    <xf numFmtId="4" fontId="53" fillId="26" borderId="128" applyNumberFormat="0" applyProtection="0">
      <alignment horizontal="right" vertical="center"/>
    </xf>
    <xf numFmtId="4" fontId="53" fillId="25" borderId="128" applyNumberFormat="0" applyProtection="0">
      <alignment horizontal="right" vertical="center"/>
    </xf>
    <xf numFmtId="4" fontId="53" fillId="24" borderId="128" applyNumberFormat="0" applyProtection="0">
      <alignment horizontal="right" vertical="center"/>
    </xf>
    <xf numFmtId="4" fontId="53" fillId="23" borderId="128" applyNumberFormat="0" applyProtection="0">
      <alignment horizontal="right" vertical="center"/>
    </xf>
    <xf numFmtId="4" fontId="53" fillId="22" borderId="134"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350" fontId="271" fillId="18" borderId="133" applyNumberFormat="0" applyProtection="0">
      <alignment horizontal="left" vertical="top"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350" fontId="184" fillId="129" borderId="132" applyNumberFormat="0" applyAlignment="0" applyProtection="0"/>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28" fillId="0" borderId="0"/>
    <xf numFmtId="350" fontId="142" fillId="14" borderId="128" applyNumberFormat="0" applyAlignment="0" applyProtection="0"/>
    <xf numFmtId="350" fontId="142" fillId="14" borderId="128" applyNumberFormat="0" applyAlignment="0" applyProtection="0"/>
    <xf numFmtId="350" fontId="268" fillId="129" borderId="128" applyNumberFormat="0" applyAlignment="0" applyProtection="0"/>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9" fillId="19" borderId="133" applyNumberFormat="0" applyProtection="0">
      <alignment horizontal="left" vertical="top" indent="1"/>
    </xf>
    <xf numFmtId="350" fontId="53" fillId="31" borderId="133" applyNumberFormat="0" applyProtection="0">
      <alignment horizontal="left" vertical="top" indent="1"/>
    </xf>
    <xf numFmtId="350" fontId="93" fillId="31" borderId="135" applyBorder="0"/>
    <xf numFmtId="350" fontId="53" fillId="13" borderId="128" applyNumberFormat="0" applyFont="0" applyAlignment="0" applyProtection="0"/>
    <xf numFmtId="350" fontId="53" fillId="30" borderId="133" applyNumberFormat="0" applyProtection="0">
      <alignment horizontal="left" vertical="top" indent="1"/>
    </xf>
    <xf numFmtId="350" fontId="9" fillId="30" borderId="133" applyNumberFormat="0" applyProtection="0">
      <alignment horizontal="left" vertical="center"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272" fillId="19" borderId="133" applyNumberFormat="0" applyProtection="0">
      <alignment horizontal="left" vertical="top" indent="1"/>
    </xf>
    <xf numFmtId="350" fontId="53" fillId="30" borderId="128" applyNumberFormat="0" applyProtection="0">
      <alignment horizontal="left" vertical="center" indent="1"/>
    </xf>
    <xf numFmtId="210" fontId="64" fillId="0" borderId="28" applyFill="0"/>
    <xf numFmtId="350" fontId="268" fillId="129" borderId="128" applyNumberFormat="0" applyAlignment="0" applyProtection="0"/>
    <xf numFmtId="350" fontId="268" fillId="129" borderId="128" applyNumberFormat="0" applyAlignment="0" applyProtection="0"/>
    <xf numFmtId="350" fontId="53" fillId="31" borderId="133" applyNumberFormat="0" applyProtection="0">
      <alignment horizontal="left" vertical="top" indent="1"/>
    </xf>
    <xf numFmtId="350" fontId="53" fillId="30" borderId="133" applyNumberFormat="0" applyProtection="0">
      <alignment horizontal="left" vertical="top" indent="1"/>
    </xf>
    <xf numFmtId="164" fontId="7" fillId="0" borderId="0" applyFont="0" applyFill="0" applyBorder="0" applyAlignment="0" applyProtection="0"/>
    <xf numFmtId="350" fontId="53" fillId="30" borderId="133" applyNumberFormat="0" applyProtection="0">
      <alignment horizontal="left" vertical="top" indent="1"/>
    </xf>
    <xf numFmtId="164" fontId="6" fillId="0" borderId="0" applyFont="0" applyFill="0" applyBorder="0" applyAlignment="0" applyProtection="0"/>
    <xf numFmtId="350" fontId="93" fillId="31" borderId="135" applyBorder="0"/>
    <xf numFmtId="4" fontId="53" fillId="24" borderId="128" applyNumberFormat="0" applyProtection="0">
      <alignment horizontal="right" vertical="center"/>
    </xf>
    <xf numFmtId="350" fontId="53" fillId="13" borderId="128" applyNumberFormat="0" applyFont="0" applyAlignment="0" applyProtection="0"/>
    <xf numFmtId="4" fontId="53" fillId="19" borderId="134" applyNumberFormat="0" applyProtection="0">
      <alignment horizontal="left" vertical="center" indent="1"/>
    </xf>
    <xf numFmtId="4" fontId="53" fillId="25" borderId="128" applyNumberFormat="0" applyProtection="0">
      <alignment horizontal="right" vertical="center"/>
    </xf>
    <xf numFmtId="350" fontId="53" fillId="61" borderId="128" applyNumberFormat="0" applyProtection="0">
      <alignment horizontal="left" vertical="center" indent="1"/>
    </xf>
    <xf numFmtId="4" fontId="273" fillId="35" borderId="134" applyNumberFormat="0" applyProtection="0">
      <alignment horizontal="left" vertical="center" indent="1"/>
    </xf>
    <xf numFmtId="350" fontId="272" fillId="19" borderId="133" applyNumberFormat="0" applyProtection="0">
      <alignment horizontal="left" vertical="top" indent="1"/>
    </xf>
    <xf numFmtId="4" fontId="270" fillId="50" borderId="128" applyNumberFormat="0" applyProtection="0">
      <alignment horizontal="right" vertical="center"/>
    </xf>
    <xf numFmtId="4" fontId="53" fillId="0" borderId="128" applyNumberFormat="0" applyProtection="0">
      <alignment horizontal="right" vertical="center"/>
    </xf>
    <xf numFmtId="350" fontId="272" fillId="34" borderId="133" applyNumberFormat="0" applyProtection="0">
      <alignment horizontal="left" vertical="top" indent="1"/>
    </xf>
    <xf numFmtId="4" fontId="272" fillId="34" borderId="133" applyNumberFormat="0" applyProtection="0">
      <alignment vertical="center"/>
    </xf>
    <xf numFmtId="350" fontId="93" fillId="31" borderId="135" applyBorder="0"/>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210" fontId="64" fillId="0" borderId="28" applyFill="0"/>
    <xf numFmtId="350" fontId="53" fillId="83" borderId="128" applyNumberFormat="0" applyProtection="0">
      <alignment horizontal="left" vertical="center" indent="1"/>
    </xf>
    <xf numFmtId="4" fontId="53" fillId="23" borderId="128" applyNumberFormat="0" applyProtection="0">
      <alignment horizontal="right" vertical="center"/>
    </xf>
    <xf numFmtId="350" fontId="268" fillId="129" borderId="128" applyNumberFormat="0" applyAlignment="0" applyProtection="0"/>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9" fillId="30" borderId="133" applyNumberFormat="0" applyProtection="0">
      <alignment horizontal="left" vertical="center" indent="1"/>
    </xf>
    <xf numFmtId="350" fontId="15" fillId="0" borderId="137" applyNumberFormat="0" applyFill="0" applyAlignment="0" applyProtection="0"/>
    <xf numFmtId="350" fontId="15" fillId="0" borderId="137" applyNumberFormat="0" applyFill="0" applyAlignment="0" applyProtection="0"/>
    <xf numFmtId="37" fontId="64" fillId="0" borderId="136" applyNumberFormat="0"/>
    <xf numFmtId="4" fontId="274" fillId="33" borderId="128" applyNumberFormat="0" applyProtection="0">
      <alignment horizontal="right" vertical="center"/>
    </xf>
    <xf numFmtId="4" fontId="273" fillId="35" borderId="134" applyNumberFormat="0" applyProtection="0">
      <alignment horizontal="left" vertical="center" indent="1"/>
    </xf>
    <xf numFmtId="350" fontId="272" fillId="19" borderId="133" applyNumberFormat="0" applyProtection="0">
      <alignment horizontal="left" vertical="top" indent="1"/>
    </xf>
    <xf numFmtId="4" fontId="53" fillId="64" borderId="128" applyNumberFormat="0" applyProtection="0">
      <alignment horizontal="left" vertical="center" indent="1"/>
    </xf>
    <xf numFmtId="4" fontId="270" fillId="50" borderId="128" applyNumberFormat="0" applyProtection="0">
      <alignment horizontal="right" vertical="center"/>
    </xf>
    <xf numFmtId="4" fontId="53" fillId="0" borderId="128" applyNumberFormat="0" applyProtection="0">
      <alignment horizontal="right" vertical="center"/>
    </xf>
    <xf numFmtId="350" fontId="272" fillId="34" borderId="133" applyNumberFormat="0" applyProtection="0">
      <alignment horizontal="left" vertical="top" indent="1"/>
    </xf>
    <xf numFmtId="4" fontId="272" fillId="61" borderId="133" applyNumberFormat="0" applyProtection="0">
      <alignment horizontal="left" vertical="center" indent="1"/>
    </xf>
    <xf numFmtId="4" fontId="272" fillId="34" borderId="133" applyNumberFormat="0" applyProtection="0">
      <alignment vertical="center"/>
    </xf>
    <xf numFmtId="350" fontId="93" fillId="31" borderId="135" applyBorder="0"/>
    <xf numFmtId="350" fontId="53" fillId="32" borderId="128" applyNumberFormat="0" applyProtection="0">
      <alignment horizontal="left" vertical="center"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center" indent="1"/>
    </xf>
    <xf numFmtId="350" fontId="53" fillId="30" borderId="128" applyNumberFormat="0" applyProtection="0">
      <alignment horizontal="left" vertical="center"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center" indent="1"/>
    </xf>
    <xf numFmtId="350" fontId="53" fillId="32" borderId="128" applyNumberFormat="0" applyProtection="0">
      <alignment horizontal="left" vertical="center"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center" indent="1"/>
    </xf>
    <xf numFmtId="350" fontId="53" fillId="83" borderId="128"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4" fontId="53" fillId="30" borderId="134" applyNumberFormat="0" applyProtection="0">
      <alignment horizontal="left" vertical="center" indent="1"/>
    </xf>
    <xf numFmtId="4" fontId="53" fillId="19" borderId="128" applyNumberFormat="0" applyProtection="0">
      <alignment horizontal="right" vertical="center"/>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29" borderId="134" applyNumberFormat="0" applyProtection="0">
      <alignment horizontal="left" vertical="center" indent="1"/>
    </xf>
    <xf numFmtId="4" fontId="53" fillId="28" borderId="128" applyNumberFormat="0" applyProtection="0">
      <alignment horizontal="right" vertical="center"/>
    </xf>
    <xf numFmtId="4" fontId="53" fillId="27" borderId="128" applyNumberFormat="0" applyProtection="0">
      <alignment horizontal="right" vertical="center"/>
    </xf>
    <xf numFmtId="4" fontId="53" fillId="26" borderId="128" applyNumberFormat="0" applyProtection="0">
      <alignment horizontal="right" vertical="center"/>
    </xf>
    <xf numFmtId="4" fontId="53" fillId="25" borderId="128" applyNumberFormat="0" applyProtection="0">
      <alignment horizontal="right" vertical="center"/>
    </xf>
    <xf numFmtId="4" fontId="53" fillId="22" borderId="134"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350" fontId="271" fillId="18" borderId="133" applyNumberFormat="0" applyProtection="0">
      <alignment horizontal="left" vertical="top"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350" fontId="184" fillId="129" borderId="132" applyNumberFormat="0" applyAlignment="0" applyProtection="0"/>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268" fillId="129" borderId="128" applyNumberFormat="0" applyAlignment="0" applyProtection="0"/>
    <xf numFmtId="350" fontId="268" fillId="129" borderId="128"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84" fillId="129" borderId="132" applyNumberFormat="0" applyAlignment="0" applyProtection="0"/>
    <xf numFmtId="350" fontId="184" fillId="129" borderId="132" applyNumberFormat="0" applyAlignment="0" applyProtection="0"/>
    <xf numFmtId="4" fontId="53" fillId="18" borderId="128" applyNumberFormat="0" applyProtection="0">
      <alignment vertical="center"/>
    </xf>
    <xf numFmtId="4" fontId="270" fillId="45" borderId="128" applyNumberFormat="0" applyProtection="0">
      <alignment vertical="center"/>
    </xf>
    <xf numFmtId="4" fontId="53" fillId="45" borderId="128" applyNumberFormat="0" applyProtection="0">
      <alignment horizontal="left" vertical="center" indent="1"/>
    </xf>
    <xf numFmtId="350" fontId="271" fillId="18" borderId="133" applyNumberFormat="0" applyProtection="0">
      <alignment horizontal="left" vertical="top" indent="1"/>
    </xf>
    <xf numFmtId="4" fontId="53" fillId="64" borderId="128" applyNumberFormat="0" applyProtection="0">
      <alignment horizontal="left" vertical="center" indent="1"/>
    </xf>
    <xf numFmtId="4" fontId="53" fillId="20" borderId="128" applyNumberFormat="0" applyProtection="0">
      <alignment horizontal="right" vertical="center"/>
    </xf>
    <xf numFmtId="4" fontId="53" fillId="132" borderId="128" applyNumberFormat="0" applyProtection="0">
      <alignment horizontal="right" vertical="center"/>
    </xf>
    <xf numFmtId="4" fontId="53" fillId="22" borderId="134" applyNumberFormat="0" applyProtection="0">
      <alignment horizontal="right" vertical="center"/>
    </xf>
    <xf numFmtId="4" fontId="53" fillId="23" borderId="128" applyNumberFormat="0" applyProtection="0">
      <alignment horizontal="right" vertical="center"/>
    </xf>
    <xf numFmtId="4" fontId="53" fillId="24" borderId="128" applyNumberFormat="0" applyProtection="0">
      <alignment horizontal="right" vertical="center"/>
    </xf>
    <xf numFmtId="4" fontId="53" fillId="25" borderId="128" applyNumberFormat="0" applyProtection="0">
      <alignment horizontal="right" vertical="center"/>
    </xf>
    <xf numFmtId="4" fontId="53" fillId="26" borderId="128" applyNumberFormat="0" applyProtection="0">
      <alignment horizontal="right" vertical="center"/>
    </xf>
    <xf numFmtId="4" fontId="53" fillId="27" borderId="128" applyNumberFormat="0" applyProtection="0">
      <alignment horizontal="right" vertical="center"/>
    </xf>
    <xf numFmtId="4" fontId="53" fillId="28" borderId="128" applyNumberFormat="0" applyProtection="0">
      <alignment horizontal="right" vertical="center"/>
    </xf>
    <xf numFmtId="4" fontId="53" fillId="29" borderId="134" applyNumberFormat="0" applyProtection="0">
      <alignment horizontal="left" vertical="center" indent="1"/>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19" borderId="128" applyNumberFormat="0" applyProtection="0">
      <alignment horizontal="right" vertical="center"/>
    </xf>
    <xf numFmtId="4" fontId="53" fillId="30" borderId="134" applyNumberFormat="0" applyProtection="0">
      <alignment horizontal="left" vertical="center" indent="1"/>
    </xf>
    <xf numFmtId="4" fontId="53" fillId="19" borderId="134" applyNumberFormat="0" applyProtection="0">
      <alignment horizontal="left" vertical="center" indent="1"/>
    </xf>
    <xf numFmtId="350" fontId="53" fillId="61" borderId="128" applyNumberFormat="0" applyProtection="0">
      <alignment horizontal="left" vertical="center" indent="1"/>
    </xf>
    <xf numFmtId="350" fontId="9" fillId="31" borderId="133" applyNumberFormat="0" applyProtection="0">
      <alignment horizontal="left" vertical="center"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83" borderId="128" applyNumberFormat="0" applyProtection="0">
      <alignment horizontal="left" vertical="center" indent="1"/>
    </xf>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28" applyNumberFormat="0" applyProtection="0">
      <alignment horizontal="left" vertical="center"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272" fillId="19"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center" indent="1"/>
    </xf>
    <xf numFmtId="350" fontId="53" fillId="30" borderId="128" applyNumberFormat="0" applyProtection="0">
      <alignment horizontal="left" vertical="center"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center" indent="1"/>
    </xf>
    <xf numFmtId="350" fontId="53" fillId="32" borderId="128" applyNumberFormat="0" applyProtection="0">
      <alignment horizontal="left" vertical="center" indent="1"/>
    </xf>
    <xf numFmtId="164" fontId="13" fillId="0" borderId="0" applyFont="0" applyFill="0" applyBorder="0" applyAlignment="0" applyProtection="0"/>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9" fillId="19" borderId="133" applyNumberFormat="0" applyProtection="0">
      <alignment horizontal="left" vertical="center" indent="1"/>
    </xf>
    <xf numFmtId="350" fontId="53" fillId="83" borderId="128"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31" borderId="133" applyNumberFormat="0" applyProtection="0">
      <alignment horizontal="left" vertical="top" indent="1"/>
    </xf>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350" fontId="53" fillId="61" borderId="128" applyNumberFormat="0" applyProtection="0">
      <alignment horizontal="left" vertical="center" indent="1"/>
    </xf>
    <xf numFmtId="4" fontId="53" fillId="19" borderId="134" applyNumberFormat="0" applyProtection="0">
      <alignment horizontal="left" vertical="center" indent="1"/>
    </xf>
    <xf numFmtId="4" fontId="53" fillId="30" borderId="134" applyNumberFormat="0" applyProtection="0">
      <alignment horizontal="left" vertical="center" indent="1"/>
    </xf>
    <xf numFmtId="4" fontId="53" fillId="19" borderId="128" applyNumberFormat="0" applyProtection="0">
      <alignment horizontal="right" vertical="center"/>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29" borderId="134" applyNumberFormat="0" applyProtection="0">
      <alignment horizontal="left" vertical="center" indent="1"/>
    </xf>
    <xf numFmtId="4" fontId="53" fillId="28" borderId="128" applyNumberFormat="0" applyProtection="0">
      <alignment horizontal="right" vertical="center"/>
    </xf>
    <xf numFmtId="4" fontId="53" fillId="27" borderId="128" applyNumberFormat="0" applyProtection="0">
      <alignment horizontal="right" vertical="center"/>
    </xf>
    <xf numFmtId="4" fontId="53" fillId="26" borderId="128" applyNumberFormat="0" applyProtection="0">
      <alignment horizontal="right" vertical="center"/>
    </xf>
    <xf numFmtId="4" fontId="53" fillId="25" borderId="128" applyNumberFormat="0" applyProtection="0">
      <alignment horizontal="right" vertical="center"/>
    </xf>
    <xf numFmtId="4" fontId="53" fillId="24" borderId="128" applyNumberFormat="0" applyProtection="0">
      <alignment horizontal="right" vertical="center"/>
    </xf>
    <xf numFmtId="4" fontId="53" fillId="23" borderId="128" applyNumberFormat="0" applyProtection="0">
      <alignment horizontal="right" vertical="center"/>
    </xf>
    <xf numFmtId="4" fontId="53" fillId="22" borderId="134"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350" fontId="271" fillId="18" borderId="133" applyNumberFormat="0" applyProtection="0">
      <alignment horizontal="left" vertical="top"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350" fontId="184" fillId="129" borderId="132" applyNumberFormat="0" applyAlignment="0" applyProtection="0"/>
    <xf numFmtId="350" fontId="184" fillId="129" borderId="132" applyNumberFormat="0" applyAlignment="0" applyProtection="0"/>
    <xf numFmtId="350" fontId="53" fillId="13" borderId="128" applyNumberFormat="0" applyFont="0" applyAlignment="0" applyProtection="0"/>
    <xf numFmtId="4" fontId="53" fillId="0" borderId="128" applyNumberFormat="0" applyProtection="0">
      <alignment horizontal="right" vertical="center"/>
    </xf>
    <xf numFmtId="350" fontId="15" fillId="0" borderId="137" applyNumberFormat="0" applyFill="0" applyAlignment="0" applyProtection="0"/>
    <xf numFmtId="350" fontId="15" fillId="0" borderId="137" applyNumberFormat="0" applyFill="0" applyAlignment="0" applyProtection="0"/>
    <xf numFmtId="37" fontId="64" fillId="0" borderId="136" applyNumberFormat="0"/>
    <xf numFmtId="4" fontId="274" fillId="33" borderId="128" applyNumberFormat="0" applyProtection="0">
      <alignment horizontal="right" vertical="center"/>
    </xf>
    <xf numFmtId="4" fontId="273" fillId="35" borderId="134" applyNumberFormat="0" applyProtection="0">
      <alignment horizontal="left" vertical="center" indent="1"/>
    </xf>
    <xf numFmtId="4" fontId="53" fillId="64" borderId="128" applyNumberFormat="0" applyProtection="0">
      <alignment horizontal="left" vertical="center" indent="1"/>
    </xf>
    <xf numFmtId="4" fontId="270" fillId="50" borderId="128" applyNumberFormat="0" applyProtection="0">
      <alignment horizontal="right" vertical="center"/>
    </xf>
    <xf numFmtId="4" fontId="53" fillId="0" borderId="128" applyNumberFormat="0" applyProtection="0">
      <alignment horizontal="right" vertical="center"/>
    </xf>
    <xf numFmtId="350" fontId="272" fillId="34" borderId="133" applyNumberFormat="0" applyProtection="0">
      <alignment horizontal="left" vertical="top" indent="1"/>
    </xf>
    <xf numFmtId="4" fontId="272" fillId="61" borderId="133" applyNumberFormat="0" applyProtection="0">
      <alignment horizontal="left" vertical="center" indent="1"/>
    </xf>
    <xf numFmtId="4" fontId="272" fillId="34" borderId="133" applyNumberFormat="0" applyProtection="0">
      <alignment vertical="center"/>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4" fontId="53" fillId="26" borderId="128" applyNumberFormat="0" applyProtection="0">
      <alignment horizontal="right" vertical="center"/>
    </xf>
    <xf numFmtId="210" fontId="64" fillId="0" borderId="28" applyFill="0"/>
    <xf numFmtId="350" fontId="53" fillId="83" borderId="128" applyNumberFormat="0" applyProtection="0">
      <alignment horizontal="left" vertical="center" indent="1"/>
    </xf>
    <xf numFmtId="4" fontId="53" fillId="24" borderId="128" applyNumberFormat="0" applyProtection="0">
      <alignment horizontal="right" vertical="center"/>
    </xf>
    <xf numFmtId="4" fontId="53" fillId="23" borderId="128" applyNumberFormat="0" applyProtection="0">
      <alignment horizontal="right" vertical="center"/>
    </xf>
    <xf numFmtId="350" fontId="268" fillId="129" borderId="128" applyNumberFormat="0" applyAlignment="0" applyProtection="0"/>
    <xf numFmtId="350" fontId="268" fillId="129" borderId="128" applyNumberFormat="0" applyAlignment="0" applyProtection="0"/>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9" fillId="30" borderId="133" applyNumberFormat="0" applyProtection="0">
      <alignment horizontal="left" vertical="center" indent="1"/>
    </xf>
    <xf numFmtId="350" fontId="15" fillId="0" borderId="137" applyNumberFormat="0" applyFill="0" applyAlignment="0" applyProtection="0"/>
    <xf numFmtId="350" fontId="15" fillId="0" borderId="137" applyNumberFormat="0" applyFill="0" applyAlignment="0" applyProtection="0"/>
    <xf numFmtId="37" fontId="64" fillId="0" borderId="136" applyNumberFormat="0"/>
    <xf numFmtId="4" fontId="274" fillId="33" borderId="128" applyNumberFormat="0" applyProtection="0">
      <alignment horizontal="right" vertical="center"/>
    </xf>
    <xf numFmtId="4" fontId="273" fillId="35" borderId="134" applyNumberFormat="0" applyProtection="0">
      <alignment horizontal="left" vertical="center" indent="1"/>
    </xf>
    <xf numFmtId="350" fontId="272" fillId="19" borderId="133" applyNumberFormat="0" applyProtection="0">
      <alignment horizontal="left" vertical="top" indent="1"/>
    </xf>
    <xf numFmtId="4" fontId="53" fillId="64" borderId="128" applyNumberFormat="0" applyProtection="0">
      <alignment horizontal="left" vertical="center" indent="1"/>
    </xf>
    <xf numFmtId="4" fontId="270" fillId="50" borderId="128" applyNumberFormat="0" applyProtection="0">
      <alignment horizontal="right" vertical="center"/>
    </xf>
    <xf numFmtId="4" fontId="53" fillId="0" borderId="128" applyNumberFormat="0" applyProtection="0">
      <alignment horizontal="right" vertical="center"/>
    </xf>
    <xf numFmtId="350" fontId="272" fillId="34" borderId="133" applyNumberFormat="0" applyProtection="0">
      <alignment horizontal="left" vertical="top" indent="1"/>
    </xf>
    <xf numFmtId="4" fontId="272" fillId="61" borderId="133" applyNumberFormat="0" applyProtection="0">
      <alignment horizontal="left" vertical="center" indent="1"/>
    </xf>
    <xf numFmtId="4" fontId="272" fillId="34" borderId="133" applyNumberFormat="0" applyProtection="0">
      <alignment vertical="center"/>
    </xf>
    <xf numFmtId="350" fontId="93" fillId="31" borderId="135" applyBorder="0"/>
    <xf numFmtId="350" fontId="53" fillId="32" borderId="128" applyNumberFormat="0" applyProtection="0">
      <alignment horizontal="left" vertical="center"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center" indent="1"/>
    </xf>
    <xf numFmtId="350" fontId="53" fillId="30" borderId="128" applyNumberFormat="0" applyProtection="0">
      <alignment horizontal="left" vertical="center"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center" indent="1"/>
    </xf>
    <xf numFmtId="350" fontId="53" fillId="32" borderId="128" applyNumberFormat="0" applyProtection="0">
      <alignment horizontal="left" vertical="center"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center" indent="1"/>
    </xf>
    <xf numFmtId="350" fontId="53" fillId="83" borderId="128"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350" fontId="53" fillId="61" borderId="128" applyNumberFormat="0" applyProtection="0">
      <alignment horizontal="left" vertical="center" indent="1"/>
    </xf>
    <xf numFmtId="4" fontId="53" fillId="19" borderId="134" applyNumberFormat="0" applyProtection="0">
      <alignment horizontal="left" vertical="center" indent="1"/>
    </xf>
    <xf numFmtId="4" fontId="53" fillId="30" borderId="134" applyNumberFormat="0" applyProtection="0">
      <alignment horizontal="left" vertical="center" indent="1"/>
    </xf>
    <xf numFmtId="4" fontId="53" fillId="19" borderId="128" applyNumberFormat="0" applyProtection="0">
      <alignment horizontal="right" vertical="center"/>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29" borderId="134" applyNumberFormat="0" applyProtection="0">
      <alignment horizontal="left" vertical="center" indent="1"/>
    </xf>
    <xf numFmtId="4" fontId="53" fillId="28" borderId="128" applyNumberFormat="0" applyProtection="0">
      <alignment horizontal="right" vertical="center"/>
    </xf>
    <xf numFmtId="4" fontId="53" fillId="27" borderId="128" applyNumberFormat="0" applyProtection="0">
      <alignment horizontal="right" vertical="center"/>
    </xf>
    <xf numFmtId="4" fontId="53" fillId="26" borderId="128" applyNumberFormat="0" applyProtection="0">
      <alignment horizontal="right" vertical="center"/>
    </xf>
    <xf numFmtId="4" fontId="53" fillId="25" borderId="128" applyNumberFormat="0" applyProtection="0">
      <alignment horizontal="right" vertical="center"/>
    </xf>
    <xf numFmtId="4" fontId="53" fillId="24" borderId="128" applyNumberFormat="0" applyProtection="0">
      <alignment horizontal="right" vertical="center"/>
    </xf>
    <xf numFmtId="4" fontId="53" fillId="23" borderId="128" applyNumberFormat="0" applyProtection="0">
      <alignment horizontal="right" vertical="center"/>
    </xf>
    <xf numFmtId="4" fontId="53" fillId="22" borderId="134"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350" fontId="271" fillId="18" borderId="133" applyNumberFormat="0" applyProtection="0">
      <alignment horizontal="left" vertical="top"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350" fontId="53" fillId="61" borderId="128" applyNumberFormat="0" applyProtection="0">
      <alignment horizontal="left" vertical="center" indent="1"/>
    </xf>
    <xf numFmtId="4" fontId="53" fillId="19" borderId="128" applyNumberFormat="0" applyProtection="0">
      <alignment horizontal="right" vertical="center"/>
    </xf>
    <xf numFmtId="4" fontId="53" fillId="28" borderId="128" applyNumberFormat="0" applyProtection="0">
      <alignment horizontal="right" vertical="center"/>
    </xf>
    <xf numFmtId="4" fontId="53" fillId="27" borderId="128" applyNumberFormat="0" applyProtection="0">
      <alignment horizontal="right" vertical="center"/>
    </xf>
    <xf numFmtId="4" fontId="53" fillId="25" borderId="128"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350" fontId="184" fillId="129" borderId="132" applyNumberFormat="0" applyAlignment="0" applyProtection="0"/>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142" fillId="14" borderId="128" applyNumberFormat="0" applyAlignment="0" applyProtection="0"/>
    <xf numFmtId="350" fontId="268" fillId="129" borderId="128" applyNumberFormat="0" applyAlignment="0" applyProtection="0"/>
    <xf numFmtId="350" fontId="268" fillId="129" borderId="128"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84" fillId="129" borderId="132" applyNumberFormat="0" applyAlignment="0" applyProtection="0"/>
    <xf numFmtId="350" fontId="184" fillId="129" borderId="132" applyNumberFormat="0" applyAlignment="0" applyProtection="0"/>
    <xf numFmtId="4" fontId="53" fillId="18" borderId="128" applyNumberFormat="0" applyProtection="0">
      <alignment vertical="center"/>
    </xf>
    <xf numFmtId="4" fontId="270" fillId="45" borderId="128" applyNumberFormat="0" applyProtection="0">
      <alignment vertical="center"/>
    </xf>
    <xf numFmtId="4" fontId="53" fillId="45" borderId="128" applyNumberFormat="0" applyProtection="0">
      <alignment horizontal="left" vertical="center" indent="1"/>
    </xf>
    <xf numFmtId="350" fontId="271" fillId="18" borderId="133" applyNumberFormat="0" applyProtection="0">
      <alignment horizontal="left" vertical="top" indent="1"/>
    </xf>
    <xf numFmtId="4" fontId="53" fillId="64" borderId="128" applyNumberFormat="0" applyProtection="0">
      <alignment horizontal="left" vertical="center" indent="1"/>
    </xf>
    <xf numFmtId="4" fontId="53" fillId="20" borderId="128" applyNumberFormat="0" applyProtection="0">
      <alignment horizontal="right" vertical="center"/>
    </xf>
    <xf numFmtId="4" fontId="53" fillId="132" borderId="128" applyNumberFormat="0" applyProtection="0">
      <alignment horizontal="right" vertical="center"/>
    </xf>
    <xf numFmtId="4" fontId="53" fillId="22" borderId="134" applyNumberFormat="0" applyProtection="0">
      <alignment horizontal="right" vertical="center"/>
    </xf>
    <xf numFmtId="4" fontId="53" fillId="23" borderId="128" applyNumberFormat="0" applyProtection="0">
      <alignment horizontal="right" vertical="center"/>
    </xf>
    <xf numFmtId="4" fontId="53" fillId="24" borderId="128" applyNumberFormat="0" applyProtection="0">
      <alignment horizontal="right" vertical="center"/>
    </xf>
    <xf numFmtId="4" fontId="53" fillId="25" borderId="128" applyNumberFormat="0" applyProtection="0">
      <alignment horizontal="right" vertical="center"/>
    </xf>
    <xf numFmtId="4" fontId="53" fillId="26" borderId="128" applyNumberFormat="0" applyProtection="0">
      <alignment horizontal="right" vertical="center"/>
    </xf>
    <xf numFmtId="4" fontId="53" fillId="27" borderId="128" applyNumberFormat="0" applyProtection="0">
      <alignment horizontal="right" vertical="center"/>
    </xf>
    <xf numFmtId="4" fontId="53" fillId="28" borderId="128" applyNumberFormat="0" applyProtection="0">
      <alignment horizontal="right" vertical="center"/>
    </xf>
    <xf numFmtId="4" fontId="53" fillId="29" borderId="134" applyNumberFormat="0" applyProtection="0">
      <alignment horizontal="left" vertical="center" indent="1"/>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19" borderId="128" applyNumberFormat="0" applyProtection="0">
      <alignment horizontal="right" vertical="center"/>
    </xf>
    <xf numFmtId="4" fontId="53" fillId="30" borderId="134" applyNumberFormat="0" applyProtection="0">
      <alignment horizontal="left" vertical="center" indent="1"/>
    </xf>
    <xf numFmtId="4" fontId="53" fillId="19" borderId="134" applyNumberFormat="0" applyProtection="0">
      <alignment horizontal="left" vertical="center" indent="1"/>
    </xf>
    <xf numFmtId="350" fontId="53" fillId="61" borderId="128" applyNumberFormat="0" applyProtection="0">
      <alignment horizontal="left" vertical="center" indent="1"/>
    </xf>
    <xf numFmtId="350" fontId="9" fillId="31" borderId="133" applyNumberFormat="0" applyProtection="0">
      <alignment horizontal="left" vertical="center"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83" borderId="128" applyNumberFormat="0" applyProtection="0">
      <alignment horizontal="left" vertical="center" indent="1"/>
    </xf>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28" applyNumberFormat="0" applyProtection="0">
      <alignment horizontal="left" vertical="center"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53" fillId="30" borderId="133" applyNumberFormat="0" applyProtection="0">
      <alignment horizontal="left" vertical="top" indent="1"/>
    </xf>
    <xf numFmtId="4" fontId="272" fillId="61" borderId="133" applyNumberFormat="0" applyProtection="0">
      <alignment horizontal="left" vertical="center" indent="1"/>
    </xf>
    <xf numFmtId="210" fontId="64" fillId="0" borderId="28" applyFill="0"/>
    <xf numFmtId="350" fontId="53" fillId="30" borderId="133" applyNumberFormat="0" applyProtection="0">
      <alignment horizontal="left" vertical="top" indent="1"/>
    </xf>
    <xf numFmtId="350" fontId="272" fillId="19" borderId="133" applyNumberFormat="0" applyProtection="0">
      <alignment horizontal="left" vertical="top" indent="1"/>
    </xf>
    <xf numFmtId="350" fontId="53" fillId="32" borderId="133" applyNumberFormat="0" applyProtection="0">
      <alignment horizontal="left" vertical="top" indent="1"/>
    </xf>
    <xf numFmtId="350" fontId="53" fillId="31" borderId="133" applyNumberFormat="0" applyProtection="0">
      <alignment horizontal="left" vertical="top" indent="1"/>
    </xf>
    <xf numFmtId="4" fontId="53" fillId="27" borderId="128" applyNumberFormat="0" applyProtection="0">
      <alignment horizontal="right" vertical="center"/>
    </xf>
    <xf numFmtId="350" fontId="53" fillId="19" borderId="133" applyNumberFormat="0" applyProtection="0">
      <alignment horizontal="left" vertical="top" indent="1"/>
    </xf>
    <xf numFmtId="164" fontId="12" fillId="0" borderId="0" applyFont="0" applyFill="0" applyBorder="0" applyAlignment="0" applyProtection="0"/>
    <xf numFmtId="350" fontId="53" fillId="19" borderId="133" applyNumberFormat="0" applyProtection="0">
      <alignment horizontal="left" vertical="top" indent="1"/>
    </xf>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31" borderId="133" applyNumberFormat="0" applyProtection="0">
      <alignment horizontal="left" vertical="top" indent="1"/>
    </xf>
    <xf numFmtId="4" fontId="53" fillId="64" borderId="128" applyNumberFormat="0" applyProtection="0">
      <alignment horizontal="left" vertical="center" indent="1"/>
    </xf>
    <xf numFmtId="350" fontId="53" fillId="32" borderId="133" applyNumberFormat="0" applyProtection="0">
      <alignment horizontal="left" vertical="top" indent="1"/>
    </xf>
    <xf numFmtId="350" fontId="15" fillId="0" borderId="137" applyNumberFormat="0" applyFill="0" applyAlignment="0" applyProtection="0"/>
    <xf numFmtId="350" fontId="15" fillId="0" borderId="137" applyNumberFormat="0" applyFill="0" applyAlignment="0" applyProtection="0"/>
    <xf numFmtId="4" fontId="53" fillId="28" borderId="128" applyNumberFormat="0" applyProtection="0">
      <alignment horizontal="right" vertical="center"/>
    </xf>
    <xf numFmtId="350" fontId="53" fillId="30" borderId="133" applyNumberFormat="0" applyProtection="0">
      <alignment horizontal="left" vertical="top" indent="1"/>
    </xf>
    <xf numFmtId="37" fontId="64" fillId="0" borderId="136" applyNumberFormat="0"/>
    <xf numFmtId="350" fontId="53" fillId="19" borderId="133" applyNumberFormat="0" applyProtection="0">
      <alignment horizontal="left" vertical="top" indent="1"/>
    </xf>
    <xf numFmtId="350" fontId="271" fillId="18" borderId="133" applyNumberFormat="0" applyProtection="0">
      <alignment horizontal="left" vertical="top" indent="1"/>
    </xf>
    <xf numFmtId="350" fontId="53" fillId="13" borderId="128" applyNumberFormat="0" applyFont="0" applyAlignment="0" applyProtection="0"/>
    <xf numFmtId="4" fontId="274" fillId="33" borderId="128" applyNumberFormat="0" applyProtection="0">
      <alignment horizontal="right" vertical="center"/>
    </xf>
    <xf numFmtId="4" fontId="273" fillId="35" borderId="134" applyNumberFormat="0" applyProtection="0">
      <alignment horizontal="left" vertical="center" indent="1"/>
    </xf>
    <xf numFmtId="350" fontId="272" fillId="19" borderId="133" applyNumberFormat="0" applyProtection="0">
      <alignment horizontal="left" vertical="top" indent="1"/>
    </xf>
    <xf numFmtId="4" fontId="53" fillId="64" borderId="128" applyNumberFormat="0" applyProtection="0">
      <alignment horizontal="left" vertical="center" indent="1"/>
    </xf>
    <xf numFmtId="4" fontId="270" fillId="50" borderId="128" applyNumberFormat="0" applyProtection="0">
      <alignment horizontal="right" vertical="center"/>
    </xf>
    <xf numFmtId="4" fontId="53" fillId="0" borderId="128" applyNumberFormat="0" applyProtection="0">
      <alignment horizontal="right" vertical="center"/>
    </xf>
    <xf numFmtId="350" fontId="272" fillId="34" borderId="133" applyNumberFormat="0" applyProtection="0">
      <alignment horizontal="left" vertical="top" indent="1"/>
    </xf>
    <xf numFmtId="4" fontId="272" fillId="61" borderId="133" applyNumberFormat="0" applyProtection="0">
      <alignment horizontal="left" vertical="center" indent="1"/>
    </xf>
    <xf numFmtId="4" fontId="272" fillId="34" borderId="133" applyNumberFormat="0" applyProtection="0">
      <alignment vertical="center"/>
    </xf>
    <xf numFmtId="350" fontId="93" fillId="31" borderId="135" applyBorder="0"/>
    <xf numFmtId="4" fontId="53" fillId="25" borderId="128" applyNumberFormat="0" applyProtection="0">
      <alignment horizontal="right" vertical="center"/>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center" indent="1"/>
    </xf>
    <xf numFmtId="350" fontId="53" fillId="30" borderId="128" applyNumberFormat="0" applyProtection="0">
      <alignment horizontal="left" vertical="center"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center" indent="1"/>
    </xf>
    <xf numFmtId="350" fontId="53" fillId="32" borderId="128" applyNumberFormat="0" applyProtection="0">
      <alignment horizontal="left" vertical="center"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center" indent="1"/>
    </xf>
    <xf numFmtId="350" fontId="53" fillId="83" borderId="128"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350" fontId="53" fillId="61" borderId="128" applyNumberFormat="0" applyProtection="0">
      <alignment horizontal="left" vertical="center" indent="1"/>
    </xf>
    <xf numFmtId="4" fontId="53" fillId="19" borderId="134" applyNumberFormat="0" applyProtection="0">
      <alignment horizontal="left" vertical="center" indent="1"/>
    </xf>
    <xf numFmtId="4" fontId="53" fillId="30" borderId="134" applyNumberFormat="0" applyProtection="0">
      <alignment horizontal="left" vertical="center" indent="1"/>
    </xf>
    <xf numFmtId="4" fontId="53" fillId="19" borderId="128" applyNumberFormat="0" applyProtection="0">
      <alignment horizontal="right" vertical="center"/>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29" borderId="134" applyNumberFormat="0" applyProtection="0">
      <alignment horizontal="left" vertical="center" indent="1"/>
    </xf>
    <xf numFmtId="4" fontId="53" fillId="28" borderId="128" applyNumberFormat="0" applyProtection="0">
      <alignment horizontal="right" vertical="center"/>
    </xf>
    <xf numFmtId="4" fontId="53" fillId="27" borderId="128" applyNumberFormat="0" applyProtection="0">
      <alignment horizontal="right" vertical="center"/>
    </xf>
    <xf numFmtId="4" fontId="53" fillId="26" borderId="128" applyNumberFormat="0" applyProtection="0">
      <alignment horizontal="right" vertical="center"/>
    </xf>
    <xf numFmtId="4" fontId="53" fillId="25" borderId="128" applyNumberFormat="0" applyProtection="0">
      <alignment horizontal="right" vertical="center"/>
    </xf>
    <xf numFmtId="4" fontId="53" fillId="24" borderId="128" applyNumberFormat="0" applyProtection="0">
      <alignment horizontal="right" vertical="center"/>
    </xf>
    <xf numFmtId="4" fontId="53" fillId="23" borderId="128" applyNumberFormat="0" applyProtection="0">
      <alignment horizontal="right" vertical="center"/>
    </xf>
    <xf numFmtId="4" fontId="53" fillId="22" borderId="134"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350" fontId="271" fillId="18" borderId="133" applyNumberFormat="0" applyProtection="0">
      <alignment horizontal="left" vertical="top"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4" fontId="53" fillId="27" borderId="128" applyNumberFormat="0" applyProtection="0">
      <alignment horizontal="right" vertical="center"/>
    </xf>
    <xf numFmtId="4" fontId="53" fillId="25" borderId="128" applyNumberFormat="0" applyProtection="0">
      <alignment horizontal="right" vertical="center"/>
    </xf>
    <xf numFmtId="350" fontId="184" fillId="129" borderId="132" applyNumberFormat="0" applyAlignment="0" applyProtection="0"/>
    <xf numFmtId="350" fontId="53" fillId="61" borderId="128" applyNumberFormat="0" applyProtection="0">
      <alignment horizontal="left" vertical="center" indent="1"/>
    </xf>
    <xf numFmtId="350" fontId="184" fillId="129" borderId="132" applyNumberFormat="0" applyAlignment="0" applyProtection="0"/>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4" fontId="53" fillId="132" borderId="128" applyNumberFormat="0" applyProtection="0">
      <alignment horizontal="right" vertical="center"/>
    </xf>
    <xf numFmtId="350" fontId="53" fillId="13" borderId="128" applyNumberFormat="0" applyFont="0" applyAlignment="0" applyProtection="0"/>
    <xf numFmtId="4" fontId="53" fillId="22" borderId="134" applyNumberFormat="0" applyProtection="0">
      <alignment horizontal="right" vertical="center"/>
    </xf>
    <xf numFmtId="350" fontId="184" fillId="129" borderId="132" applyNumberFormat="0" applyAlignment="0" applyProtection="0"/>
    <xf numFmtId="350" fontId="53" fillId="13" borderId="128" applyNumberFormat="0" applyFont="0" applyAlignment="0" applyProtection="0"/>
    <xf numFmtId="4" fontId="53" fillId="20" borderId="128" applyNumberFormat="0" applyProtection="0">
      <alignment horizontal="right" vertical="center"/>
    </xf>
    <xf numFmtId="4" fontId="53" fillId="18" borderId="128" applyNumberFormat="0" applyProtection="0">
      <alignment vertical="center"/>
    </xf>
    <xf numFmtId="4" fontId="53" fillId="24" borderId="128" applyNumberFormat="0" applyProtection="0">
      <alignment horizontal="right" vertical="center"/>
    </xf>
    <xf numFmtId="4" fontId="270" fillId="45" borderId="128" applyNumberFormat="0" applyProtection="0">
      <alignment vertical="center"/>
    </xf>
    <xf numFmtId="164" fontId="12" fillId="0" borderId="0" applyFont="0" applyFill="0" applyBorder="0" applyAlignment="0" applyProtection="0"/>
    <xf numFmtId="350" fontId="142" fillId="14" borderId="128" applyNumberFormat="0" applyAlignment="0" applyProtection="0"/>
    <xf numFmtId="350" fontId="53" fillId="61" borderId="128" applyNumberFormat="0" applyProtection="0">
      <alignment horizontal="left" vertical="center" indent="1"/>
    </xf>
    <xf numFmtId="350" fontId="53" fillId="13" borderId="128" applyNumberFormat="0" applyFont="0" applyAlignment="0" applyProtection="0"/>
    <xf numFmtId="350" fontId="142" fillId="14" borderId="128" applyNumberFormat="0" applyAlignment="0" applyProtection="0"/>
    <xf numFmtId="4" fontId="270" fillId="45" borderId="128" applyNumberFormat="0" applyProtection="0">
      <alignment vertical="center"/>
    </xf>
    <xf numFmtId="164" fontId="12" fillId="0" borderId="0" applyFont="0" applyFill="0" applyBorder="0" applyAlignment="0" applyProtection="0"/>
    <xf numFmtId="4" fontId="53" fillId="19" borderId="128" applyNumberFormat="0" applyProtection="0">
      <alignment horizontal="right" vertical="center"/>
    </xf>
    <xf numFmtId="4" fontId="53" fillId="18" borderId="128" applyNumberFormat="0" applyProtection="0">
      <alignment vertical="center"/>
    </xf>
    <xf numFmtId="4" fontId="53" fillId="18" borderId="128" applyNumberFormat="0" applyProtection="0">
      <alignment vertical="center"/>
    </xf>
    <xf numFmtId="4" fontId="53" fillId="19" borderId="128" applyNumberFormat="0" applyProtection="0">
      <alignment horizontal="right" vertical="center"/>
    </xf>
    <xf numFmtId="4" fontId="53" fillId="23" borderId="128" applyNumberFormat="0" applyProtection="0">
      <alignment horizontal="right" vertical="center"/>
    </xf>
    <xf numFmtId="350" fontId="184" fillId="129" borderId="132" applyNumberFormat="0" applyAlignment="0" applyProtection="0"/>
    <xf numFmtId="350" fontId="53" fillId="13" borderId="128" applyNumberFormat="0" applyFont="0" applyAlignment="0" applyProtection="0"/>
    <xf numFmtId="4" fontId="53" fillId="132" borderId="128" applyNumberFormat="0" applyProtection="0">
      <alignment horizontal="right" vertical="center"/>
    </xf>
    <xf numFmtId="4" fontId="53" fillId="45" borderId="128" applyNumberFormat="0" applyProtection="0">
      <alignment horizontal="left" vertical="center" indent="1"/>
    </xf>
    <xf numFmtId="350" fontId="53" fillId="32" borderId="128" applyNumberFormat="0" applyProtection="0">
      <alignment horizontal="left" vertical="center" indent="1"/>
    </xf>
    <xf numFmtId="350" fontId="53" fillId="13" borderId="128" applyNumberFormat="0" applyFont="0" applyAlignment="0" applyProtection="0"/>
    <xf numFmtId="350" fontId="93" fillId="31" borderId="135" applyBorder="0"/>
    <xf numFmtId="350" fontId="15" fillId="0" borderId="137" applyNumberFormat="0" applyFill="0" applyAlignment="0" applyProtection="0"/>
    <xf numFmtId="164" fontId="12" fillId="0" borderId="0" applyFont="0" applyFill="0" applyBorder="0" applyAlignment="0" applyProtection="0"/>
    <xf numFmtId="350" fontId="268" fillId="129" borderId="128" applyNumberFormat="0" applyAlignment="0" applyProtection="0"/>
    <xf numFmtId="4" fontId="53" fillId="24" borderId="128" applyNumberFormat="0" applyProtection="0">
      <alignment horizontal="right" vertical="center"/>
    </xf>
    <xf numFmtId="350" fontId="53" fillId="13" borderId="128" applyNumberFormat="0" applyFont="0" applyAlignment="0" applyProtection="0"/>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4" fontId="53" fillId="64" borderId="128" applyNumberFormat="0" applyProtection="0">
      <alignment horizontal="left" vertical="center" indent="1"/>
    </xf>
    <xf numFmtId="350" fontId="272" fillId="19" borderId="133" applyNumberFormat="0" applyProtection="0">
      <alignment horizontal="left" vertical="top" indent="1"/>
    </xf>
    <xf numFmtId="350" fontId="15" fillId="0" borderId="137" applyNumberFormat="0" applyFill="0" applyAlignment="0" applyProtection="0"/>
    <xf numFmtId="350" fontId="53" fillId="13" borderId="128" applyNumberFormat="0" applyFont="0" applyAlignment="0" applyProtection="0"/>
    <xf numFmtId="4" fontId="270" fillId="45" borderId="128" applyNumberFormat="0" applyProtection="0">
      <alignment vertical="center"/>
    </xf>
    <xf numFmtId="350" fontId="53" fillId="83" borderId="128" applyNumberFormat="0" applyProtection="0">
      <alignment horizontal="left" vertical="center" indent="1"/>
    </xf>
    <xf numFmtId="37" fontId="64" fillId="0" borderId="136" applyNumberFormat="0"/>
    <xf numFmtId="350" fontId="53" fillId="31" borderId="133" applyNumberFormat="0" applyProtection="0">
      <alignment horizontal="left" vertical="top" indent="1"/>
    </xf>
    <xf numFmtId="350" fontId="53" fillId="83" borderId="128" applyNumberFormat="0" applyProtection="0">
      <alignment horizontal="left" vertical="center" indent="1"/>
    </xf>
    <xf numFmtId="350" fontId="53" fillId="19" borderId="133" applyNumberFormat="0" applyProtection="0">
      <alignment horizontal="left" vertical="top" indent="1"/>
    </xf>
    <xf numFmtId="350" fontId="9" fillId="32" borderId="133" applyNumberFormat="0" applyProtection="0">
      <alignment horizontal="left" vertical="top" indent="1"/>
    </xf>
    <xf numFmtId="350" fontId="53" fillId="19" borderId="133" applyNumberFormat="0" applyProtection="0">
      <alignment horizontal="left" vertical="top" indent="1"/>
    </xf>
    <xf numFmtId="350" fontId="53" fillId="61" borderId="128" applyNumberFormat="0" applyProtection="0">
      <alignment horizontal="left" vertical="center" indent="1"/>
    </xf>
    <xf numFmtId="4" fontId="53" fillId="28" borderId="128" applyNumberFormat="0" applyProtection="0">
      <alignment horizontal="right" vertical="center"/>
    </xf>
    <xf numFmtId="4" fontId="53" fillId="132" borderId="128" applyNumberFormat="0" applyProtection="0">
      <alignment horizontal="right" vertical="center"/>
    </xf>
    <xf numFmtId="4" fontId="53" fillId="64" borderId="128" applyNumberFormat="0" applyProtection="0">
      <alignment horizontal="left" vertical="center" indent="1"/>
    </xf>
    <xf numFmtId="4" fontId="270" fillId="45" borderId="128" applyNumberFormat="0" applyProtection="0">
      <alignment vertical="center"/>
    </xf>
    <xf numFmtId="4" fontId="274" fillId="33" borderId="128" applyNumberFormat="0" applyProtection="0">
      <alignment horizontal="right" vertical="center"/>
    </xf>
    <xf numFmtId="350" fontId="53" fillId="30" borderId="133" applyNumberFormat="0" applyProtection="0">
      <alignment horizontal="left" vertical="top" indent="1"/>
    </xf>
    <xf numFmtId="350" fontId="53" fillId="30" borderId="133" applyNumberFormat="0" applyProtection="0">
      <alignment horizontal="left" vertical="top" indent="1"/>
    </xf>
    <xf numFmtId="164" fontId="12" fillId="0" borderId="0" applyFont="0" applyFill="0" applyBorder="0" applyAlignment="0" applyProtection="0"/>
    <xf numFmtId="4" fontId="53" fillId="64" borderId="128" applyNumberFormat="0" applyProtection="0">
      <alignment horizontal="left" vertical="center" indent="1"/>
    </xf>
    <xf numFmtId="4" fontId="272" fillId="61" borderId="133" applyNumberFormat="0" applyProtection="0">
      <alignment horizontal="left" vertical="center" indent="1"/>
    </xf>
    <xf numFmtId="4" fontId="53" fillId="26" borderId="128" applyNumberFormat="0" applyProtection="0">
      <alignment horizontal="right" vertical="center"/>
    </xf>
    <xf numFmtId="4" fontId="53" fillId="24" borderId="128" applyNumberFormat="0" applyProtection="0">
      <alignment horizontal="right" vertical="center"/>
    </xf>
    <xf numFmtId="350" fontId="268" fillId="129" borderId="128"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350" fontId="53" fillId="30" borderId="133" applyNumberFormat="0" applyProtection="0">
      <alignment horizontal="left" vertical="top" indent="1"/>
    </xf>
    <xf numFmtId="4" fontId="270" fillId="45" borderId="128" applyNumberFormat="0" applyProtection="0">
      <alignment vertical="center"/>
    </xf>
    <xf numFmtId="4" fontId="53" fillId="20" borderId="128" applyNumberFormat="0" applyProtection="0">
      <alignment horizontal="right" vertical="center"/>
    </xf>
    <xf numFmtId="350" fontId="53" fillId="61" borderId="128" applyNumberFormat="0" applyProtection="0">
      <alignment horizontal="left" vertical="center" indent="1"/>
    </xf>
    <xf numFmtId="4" fontId="53" fillId="28" borderId="128" applyNumberFormat="0" applyProtection="0">
      <alignment horizontal="right" vertical="center"/>
    </xf>
    <xf numFmtId="4" fontId="53" fillId="25" borderId="128" applyNumberFormat="0" applyProtection="0">
      <alignment horizontal="right" vertical="center"/>
    </xf>
    <xf numFmtId="4" fontId="53" fillId="132" borderId="128" applyNumberFormat="0" applyProtection="0">
      <alignment horizontal="right" vertical="center"/>
    </xf>
    <xf numFmtId="4" fontId="53" fillId="27" borderId="128" applyNumberFormat="0" applyProtection="0">
      <alignment horizontal="right" vertical="center"/>
    </xf>
    <xf numFmtId="350" fontId="53" fillId="30" borderId="133" applyNumberFormat="0" applyProtection="0">
      <alignment horizontal="left" vertical="top" indent="1"/>
    </xf>
    <xf numFmtId="350" fontId="9" fillId="30" borderId="133" applyNumberFormat="0" applyProtection="0">
      <alignment horizontal="left" vertical="center" indent="1"/>
    </xf>
    <xf numFmtId="350" fontId="53" fillId="32" borderId="128" applyNumberFormat="0" applyProtection="0">
      <alignment horizontal="left" vertical="center"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184" fillId="129" borderId="132" applyNumberFormat="0" applyAlignment="0" applyProtection="0"/>
    <xf numFmtId="4" fontId="53" fillId="19" borderId="128" applyNumberFormat="0" applyProtection="0">
      <alignment horizontal="right" vertical="center"/>
    </xf>
    <xf numFmtId="164" fontId="7" fillId="0" borderId="0" applyFont="0" applyFill="0" applyBorder="0" applyAlignment="0" applyProtection="0"/>
    <xf numFmtId="4" fontId="53" fillId="23" borderId="128" applyNumberFormat="0" applyProtection="0">
      <alignment horizontal="right" vertical="center"/>
    </xf>
    <xf numFmtId="350" fontId="9" fillId="19" borderId="133" applyNumberFormat="0" applyProtection="0">
      <alignment horizontal="left" vertical="top" indent="1"/>
    </xf>
    <xf numFmtId="350" fontId="142" fillId="14" borderId="128" applyNumberFormat="0" applyAlignment="0" applyProtection="0"/>
    <xf numFmtId="350" fontId="15" fillId="0" borderId="137" applyNumberFormat="0" applyFill="0" applyAlignment="0" applyProtection="0"/>
    <xf numFmtId="350" fontId="9" fillId="30" borderId="133" applyNumberFormat="0" applyProtection="0">
      <alignment horizontal="left" vertical="top" indent="1"/>
    </xf>
    <xf numFmtId="4" fontId="270" fillId="50" borderId="128" applyNumberFormat="0" applyProtection="0">
      <alignment horizontal="right" vertical="center"/>
    </xf>
    <xf numFmtId="4" fontId="53" fillId="45" borderId="128" applyNumberFormat="0" applyProtection="0">
      <alignment horizontal="left" vertical="center" indent="1"/>
    </xf>
    <xf numFmtId="350" fontId="53" fillId="30" borderId="133" applyNumberFormat="0" applyProtection="0">
      <alignment horizontal="left" vertical="top" indent="1"/>
    </xf>
    <xf numFmtId="4" fontId="53" fillId="64" borderId="128" applyNumberFormat="0" applyProtection="0">
      <alignment horizontal="left" vertical="center" indent="1"/>
    </xf>
    <xf numFmtId="350" fontId="53" fillId="13" borderId="128" applyNumberFormat="0" applyFont="0" applyAlignment="0" applyProtection="0"/>
    <xf numFmtId="350" fontId="53" fillId="13" borderId="128" applyNumberFormat="0" applyFont="0" applyAlignment="0" applyProtection="0"/>
    <xf numFmtId="350" fontId="268" fillId="129" borderId="128" applyNumberFormat="0" applyAlignment="0" applyProtection="0"/>
    <xf numFmtId="350" fontId="142" fillId="14" borderId="128" applyNumberFormat="0" applyAlignment="0" applyProtection="0"/>
    <xf numFmtId="350" fontId="53" fillId="13" borderId="128" applyNumberFormat="0" applyFont="0" applyAlignment="0" applyProtection="0"/>
    <xf numFmtId="350" fontId="184" fillId="129" borderId="132" applyNumberFormat="0" applyAlignment="0" applyProtection="0"/>
    <xf numFmtId="4" fontId="272" fillId="34" borderId="133" applyNumberFormat="0" applyProtection="0">
      <alignment vertical="center"/>
    </xf>
    <xf numFmtId="350" fontId="53" fillId="32" borderId="133" applyNumberFormat="0" applyProtection="0">
      <alignment horizontal="left" vertical="top" indent="1"/>
    </xf>
    <xf numFmtId="350" fontId="268" fillId="129" borderId="128" applyNumberFormat="0" applyAlignment="0" applyProtection="0"/>
    <xf numFmtId="350" fontId="53" fillId="13" borderId="128" applyNumberFormat="0" applyFont="0" applyAlignment="0" applyProtection="0"/>
    <xf numFmtId="4" fontId="53" fillId="0" borderId="128" applyNumberFormat="0" applyProtection="0">
      <alignment horizontal="right" vertical="center"/>
    </xf>
    <xf numFmtId="350" fontId="53" fillId="31" borderId="133" applyNumberFormat="0" applyProtection="0">
      <alignment horizontal="left" vertical="top" indent="1"/>
    </xf>
    <xf numFmtId="350" fontId="53" fillId="30" borderId="133" applyNumberFormat="0" applyProtection="0">
      <alignment horizontal="left" vertical="top" indent="1"/>
    </xf>
    <xf numFmtId="4" fontId="273" fillId="35" borderId="134" applyNumberFormat="0" applyProtection="0">
      <alignment horizontal="left" vertical="center" indent="1"/>
    </xf>
    <xf numFmtId="350" fontId="142" fillId="14" borderId="128" applyNumberFormat="0" applyAlignment="0" applyProtection="0"/>
    <xf numFmtId="350" fontId="53" fillId="19" borderId="133" applyNumberFormat="0" applyProtection="0">
      <alignment horizontal="left" vertical="top" indent="1"/>
    </xf>
    <xf numFmtId="350" fontId="53" fillId="30" borderId="133" applyNumberFormat="0" applyProtection="0">
      <alignment horizontal="left" vertical="top" indent="1"/>
    </xf>
    <xf numFmtId="350" fontId="53" fillId="30" borderId="128" applyNumberFormat="0" applyProtection="0">
      <alignment horizontal="left" vertical="center" indent="1"/>
    </xf>
    <xf numFmtId="4" fontId="53" fillId="20" borderId="128" applyNumberFormat="0" applyProtection="0">
      <alignment horizontal="right" vertical="center"/>
    </xf>
    <xf numFmtId="4" fontId="53" fillId="0" borderId="128" applyNumberFormat="0" applyProtection="0">
      <alignment horizontal="right" vertical="center"/>
    </xf>
    <xf numFmtId="210" fontId="64" fillId="0" borderId="28" applyFill="0"/>
    <xf numFmtId="350" fontId="53" fillId="13" borderId="128" applyNumberFormat="0" applyFont="0" applyAlignment="0" applyProtection="0"/>
    <xf numFmtId="4" fontId="53" fillId="64" borderId="128" applyNumberFormat="0" applyProtection="0">
      <alignment horizontal="left" vertical="center" indent="1"/>
    </xf>
    <xf numFmtId="350" fontId="53" fillId="13" borderId="128" applyNumberFormat="0" applyFont="0" applyAlignment="0" applyProtection="0"/>
    <xf numFmtId="350" fontId="53" fillId="13" borderId="128" applyNumberFormat="0" applyFont="0" applyAlignment="0" applyProtection="0"/>
    <xf numFmtId="350" fontId="53" fillId="31" borderId="133" applyNumberFormat="0" applyProtection="0">
      <alignment horizontal="left" vertical="top"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13" borderId="128" applyNumberFormat="0" applyFont="0" applyAlignment="0" applyProtection="0"/>
    <xf numFmtId="4" fontId="53" fillId="24" borderId="128" applyNumberFormat="0" applyProtection="0">
      <alignment horizontal="right" vertical="center"/>
    </xf>
    <xf numFmtId="350" fontId="53" fillId="32" borderId="133" applyNumberFormat="0" applyProtection="0">
      <alignment horizontal="left" vertical="top" indent="1"/>
    </xf>
    <xf numFmtId="4" fontId="53" fillId="64" borderId="128" applyNumberFormat="0" applyProtection="0">
      <alignment horizontal="left" vertical="center" indent="1"/>
    </xf>
    <xf numFmtId="350" fontId="53" fillId="31" borderId="133" applyNumberFormat="0" applyProtection="0">
      <alignment horizontal="left" vertical="top" indent="1"/>
    </xf>
    <xf numFmtId="350" fontId="268" fillId="129" borderId="128" applyNumberFormat="0" applyAlignment="0" applyProtection="0"/>
    <xf numFmtId="4" fontId="272" fillId="61" borderId="133" applyNumberFormat="0" applyProtection="0">
      <alignment horizontal="left" vertical="center" indent="1"/>
    </xf>
    <xf numFmtId="350" fontId="15" fillId="0" borderId="137" applyNumberFormat="0" applyFill="0" applyAlignment="0" applyProtection="0"/>
    <xf numFmtId="350" fontId="53" fillId="13" borderId="128" applyNumberFormat="0" applyFont="0" applyAlignment="0" applyProtection="0"/>
    <xf numFmtId="350" fontId="53" fillId="31" borderId="133" applyNumberFormat="0" applyProtection="0">
      <alignment horizontal="left" vertical="top" indent="1"/>
    </xf>
    <xf numFmtId="4" fontId="53" fillId="64" borderId="128" applyNumberFormat="0" applyProtection="0">
      <alignment horizontal="left" vertical="center" indent="1"/>
    </xf>
    <xf numFmtId="350" fontId="268" fillId="129" borderId="128" applyNumberFormat="0" applyAlignment="0" applyProtection="0"/>
    <xf numFmtId="4" fontId="274" fillId="33" borderId="128" applyNumberFormat="0" applyProtection="0">
      <alignment horizontal="right" vertical="center"/>
    </xf>
    <xf numFmtId="350" fontId="93" fillId="31" borderId="135" applyBorder="0"/>
    <xf numFmtId="350" fontId="53" fillId="13" borderId="128" applyNumberFormat="0" applyFont="0" applyAlignment="0" applyProtection="0"/>
    <xf numFmtId="4" fontId="53" fillId="64" borderId="128" applyNumberFormat="0" applyProtection="0">
      <alignment horizontal="left" vertical="center"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13" borderId="128" applyNumberFormat="0" applyFont="0" applyAlignment="0" applyProtection="0"/>
    <xf numFmtId="350" fontId="184" fillId="129" borderId="132" applyNumberFormat="0" applyAlignment="0" applyProtection="0"/>
    <xf numFmtId="4" fontId="53" fillId="20" borderId="128" applyNumberFormat="0" applyProtection="0">
      <alignment horizontal="right" vertical="center"/>
    </xf>
    <xf numFmtId="350" fontId="53" fillId="31" borderId="133" applyNumberFormat="0" applyProtection="0">
      <alignment horizontal="left" vertical="top" indent="1"/>
    </xf>
    <xf numFmtId="350" fontId="93" fillId="31" borderId="135" applyBorder="0"/>
    <xf numFmtId="4" fontId="53" fillId="28" borderId="128" applyNumberFormat="0" applyProtection="0">
      <alignment horizontal="right" vertical="center"/>
    </xf>
    <xf numFmtId="350" fontId="53" fillId="31" borderId="133" applyNumberFormat="0" applyProtection="0">
      <alignment horizontal="left" vertical="top" indent="1"/>
    </xf>
    <xf numFmtId="350" fontId="53" fillId="30" borderId="133" applyNumberFormat="0" applyProtection="0">
      <alignment horizontal="left" vertical="top" indent="1"/>
    </xf>
    <xf numFmtId="4" fontId="53" fillId="26" borderId="128" applyNumberFormat="0" applyProtection="0">
      <alignment horizontal="right" vertical="center"/>
    </xf>
    <xf numFmtId="350" fontId="53" fillId="32" borderId="133" applyNumberFormat="0" applyProtection="0">
      <alignment horizontal="left" vertical="top" indent="1"/>
    </xf>
    <xf numFmtId="350" fontId="9" fillId="32" borderId="133" applyNumberFormat="0" applyProtection="0">
      <alignment horizontal="left" vertical="center" indent="1"/>
    </xf>
    <xf numFmtId="4" fontId="53" fillId="0" borderId="128" applyNumberFormat="0" applyProtection="0">
      <alignment horizontal="right" vertical="center"/>
    </xf>
    <xf numFmtId="350" fontId="53" fillId="19" borderId="133" applyNumberFormat="0" applyProtection="0">
      <alignment horizontal="left" vertical="top" indent="1"/>
    </xf>
    <xf numFmtId="350" fontId="268" fillId="129" borderId="128" applyNumberFormat="0" applyAlignment="0" applyProtection="0"/>
    <xf numFmtId="350" fontId="142" fillId="14" borderId="128" applyNumberFormat="0" applyAlignment="0" applyProtection="0"/>
    <xf numFmtId="4" fontId="53" fillId="45" borderId="128" applyNumberFormat="0" applyProtection="0">
      <alignment horizontal="left" vertical="center" indent="1"/>
    </xf>
    <xf numFmtId="4" fontId="272" fillId="61" borderId="133" applyNumberFormat="0" applyProtection="0">
      <alignment horizontal="left" vertical="center" indent="1"/>
    </xf>
    <xf numFmtId="4" fontId="53" fillId="28" borderId="128" applyNumberFormat="0" applyProtection="0">
      <alignment horizontal="right" vertical="center"/>
    </xf>
    <xf numFmtId="4" fontId="270" fillId="50" borderId="128" applyNumberFormat="0" applyProtection="0">
      <alignment horizontal="right" vertical="center"/>
    </xf>
    <xf numFmtId="350" fontId="53" fillId="13" borderId="128" applyNumberFormat="0" applyFont="0" applyAlignment="0" applyProtection="0"/>
    <xf numFmtId="350" fontId="142" fillId="14" borderId="128" applyNumberFormat="0" applyAlignment="0" applyProtection="0"/>
    <xf numFmtId="350" fontId="53" fillId="13" borderId="128" applyNumberFormat="0" applyFont="0" applyAlignment="0" applyProtection="0"/>
    <xf numFmtId="4" fontId="274" fillId="33" borderId="128" applyNumberFormat="0" applyProtection="0">
      <alignment horizontal="right" vertical="center"/>
    </xf>
    <xf numFmtId="350" fontId="268" fillId="129" borderId="128"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4" fontId="53" fillId="0" borderId="128" applyNumberFormat="0" applyProtection="0">
      <alignment horizontal="right" vertical="center"/>
    </xf>
    <xf numFmtId="164" fontId="12" fillId="0" borderId="0" applyFont="0" applyFill="0" applyBorder="0" applyAlignment="0" applyProtection="0"/>
    <xf numFmtId="350" fontId="53" fillId="13" borderId="128" applyNumberFormat="0" applyFont="0" applyAlignment="0" applyProtection="0"/>
    <xf numFmtId="350" fontId="268" fillId="129" borderId="128" applyNumberFormat="0" applyAlignment="0" applyProtection="0"/>
    <xf numFmtId="350" fontId="272" fillId="34" borderId="133" applyNumberFormat="0" applyProtection="0">
      <alignment horizontal="left" vertical="top" indent="1"/>
    </xf>
    <xf numFmtId="350" fontId="9" fillId="30" borderId="133" applyNumberFormat="0" applyProtection="0">
      <alignment horizontal="left" vertical="center" indent="1"/>
    </xf>
    <xf numFmtId="4" fontId="274" fillId="33" borderId="128" applyNumberFormat="0" applyProtection="0">
      <alignment horizontal="right" vertical="center"/>
    </xf>
    <xf numFmtId="350" fontId="53" fillId="30" borderId="128" applyNumberFormat="0" applyProtection="0">
      <alignment horizontal="left" vertical="center" indent="1"/>
    </xf>
    <xf numFmtId="350" fontId="53" fillId="83" borderId="128" applyNumberFormat="0" applyProtection="0">
      <alignment horizontal="left" vertical="center" indent="1"/>
    </xf>
    <xf numFmtId="4" fontId="53" fillId="20" borderId="128" applyNumberFormat="0" applyProtection="0">
      <alignment horizontal="right" vertical="center"/>
    </xf>
    <xf numFmtId="350" fontId="53" fillId="19" borderId="133" applyNumberFormat="0" applyProtection="0">
      <alignment horizontal="left" vertical="top" indent="1"/>
    </xf>
    <xf numFmtId="350" fontId="53" fillId="83" borderId="128" applyNumberFormat="0" applyProtection="0">
      <alignment horizontal="left" vertical="center" indent="1"/>
    </xf>
    <xf numFmtId="350" fontId="53" fillId="13" borderId="128" applyNumberFormat="0" applyFont="0" applyAlignment="0" applyProtection="0"/>
    <xf numFmtId="350" fontId="53" fillId="31" borderId="133" applyNumberFormat="0" applyProtection="0">
      <alignment horizontal="left" vertical="top" indent="1"/>
    </xf>
    <xf numFmtId="350" fontId="53" fillId="30" borderId="133" applyNumberFormat="0" applyProtection="0">
      <alignment horizontal="left" vertical="top" indent="1"/>
    </xf>
    <xf numFmtId="350" fontId="53" fillId="13" borderId="128" applyNumberFormat="0" applyFont="0" applyAlignment="0" applyProtection="0"/>
    <xf numFmtId="4" fontId="53" fillId="23" borderId="128" applyNumberFormat="0" applyProtection="0">
      <alignment horizontal="right" vertical="center"/>
    </xf>
    <xf numFmtId="350" fontId="53" fillId="32" borderId="128" applyNumberFormat="0" applyProtection="0">
      <alignment horizontal="left" vertical="center" indent="1"/>
    </xf>
    <xf numFmtId="350" fontId="53" fillId="30" borderId="133" applyNumberFormat="0" applyProtection="0">
      <alignment horizontal="left" vertical="top" indent="1"/>
    </xf>
    <xf numFmtId="4" fontId="53" fillId="19" borderId="128" applyNumberFormat="0" applyProtection="0">
      <alignment horizontal="right" vertical="center"/>
    </xf>
    <xf numFmtId="350" fontId="272" fillId="34" borderId="133" applyNumberFormat="0" applyProtection="0">
      <alignment horizontal="left" vertical="top" indent="1"/>
    </xf>
    <xf numFmtId="350" fontId="15" fillId="0" borderId="137" applyNumberFormat="0" applyFill="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31" borderId="133" applyNumberFormat="0" applyProtection="0">
      <alignment horizontal="left" vertical="top" indent="1"/>
    </xf>
    <xf numFmtId="350" fontId="53" fillId="30" borderId="133" applyNumberFormat="0" applyProtection="0">
      <alignment horizontal="left" vertical="top" indent="1"/>
    </xf>
    <xf numFmtId="37" fontId="64" fillId="0" borderId="136" applyNumberFormat="0"/>
    <xf numFmtId="350" fontId="53" fillId="19" borderId="133" applyNumberFormat="0" applyProtection="0">
      <alignment horizontal="left" vertical="top" indent="1"/>
    </xf>
    <xf numFmtId="350" fontId="53" fillId="13" borderId="128" applyNumberFormat="0" applyFont="0" applyAlignment="0" applyProtection="0"/>
    <xf numFmtId="350" fontId="53" fillId="30" borderId="133" applyNumberFormat="0" applyProtection="0">
      <alignment horizontal="left" vertical="top" indent="1"/>
    </xf>
    <xf numFmtId="350" fontId="268" fillId="129" borderId="128" applyNumberFormat="0" applyAlignment="0" applyProtection="0"/>
    <xf numFmtId="350" fontId="53" fillId="31" borderId="133" applyNumberFormat="0" applyProtection="0">
      <alignment horizontal="left" vertical="top" indent="1"/>
    </xf>
    <xf numFmtId="350" fontId="53" fillId="32" borderId="133" applyNumberFormat="0" applyProtection="0">
      <alignment horizontal="left" vertical="top" indent="1"/>
    </xf>
    <xf numFmtId="4" fontId="272" fillId="34" borderId="133" applyNumberFormat="0" applyProtection="0">
      <alignment vertical="center"/>
    </xf>
    <xf numFmtId="37" fontId="64" fillId="0" borderId="136" applyNumberFormat="0"/>
    <xf numFmtId="350" fontId="53" fillId="13" borderId="128" applyNumberFormat="0" applyFont="0" applyAlignment="0" applyProtection="0"/>
    <xf numFmtId="350" fontId="53" fillId="31" borderId="133" applyNumberFormat="0" applyProtection="0">
      <alignment horizontal="left" vertical="top" indent="1"/>
    </xf>
    <xf numFmtId="4" fontId="53" fillId="20" borderId="128" applyNumberFormat="0" applyProtection="0">
      <alignment horizontal="right" vertical="center"/>
    </xf>
    <xf numFmtId="350" fontId="142" fillId="14" borderId="128" applyNumberFormat="0" applyAlignment="0" applyProtection="0"/>
    <xf numFmtId="4" fontId="270" fillId="50" borderId="128" applyNumberFormat="0" applyProtection="0">
      <alignment horizontal="right" vertical="center"/>
    </xf>
    <xf numFmtId="350" fontId="53" fillId="31" borderId="133" applyNumberFormat="0" applyProtection="0">
      <alignment horizontal="left" vertical="top" indent="1"/>
    </xf>
    <xf numFmtId="4" fontId="273" fillId="35" borderId="134" applyNumberFormat="0" applyProtection="0">
      <alignment horizontal="left" vertical="center"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4" fontId="53" fillId="30" borderId="134" applyNumberFormat="0" applyProtection="0">
      <alignment horizontal="left" vertical="center" indent="1"/>
    </xf>
    <xf numFmtId="350" fontId="272" fillId="34" borderId="133" applyNumberFormat="0" applyProtection="0">
      <alignment horizontal="left" vertical="top" indent="1"/>
    </xf>
    <xf numFmtId="350" fontId="53" fillId="31" borderId="133" applyNumberFormat="0" applyProtection="0">
      <alignment horizontal="left" vertical="top" indent="1"/>
    </xf>
    <xf numFmtId="4" fontId="53" fillId="18" borderId="128" applyNumberFormat="0" applyProtection="0">
      <alignment vertical="center"/>
    </xf>
    <xf numFmtId="4" fontId="53" fillId="64" borderId="128" applyNumberFormat="0" applyProtection="0">
      <alignment horizontal="left" vertical="center" indent="1"/>
    </xf>
    <xf numFmtId="4" fontId="9" fillId="31" borderId="134" applyNumberFormat="0" applyProtection="0">
      <alignment horizontal="left" vertical="center" indent="1"/>
    </xf>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30" borderId="133" applyNumberFormat="0" applyProtection="0">
      <alignment horizontal="left" vertical="top" indent="1"/>
    </xf>
    <xf numFmtId="4" fontId="272" fillId="61" borderId="133" applyNumberFormat="0" applyProtection="0">
      <alignment horizontal="left" vertical="center" indent="1"/>
    </xf>
    <xf numFmtId="4" fontId="270" fillId="50" borderId="128" applyNumberFormat="0" applyProtection="0">
      <alignment horizontal="right" vertical="center"/>
    </xf>
    <xf numFmtId="350" fontId="53" fillId="13" borderId="128" applyNumberFormat="0" applyFont="0" applyAlignment="0" applyProtection="0"/>
    <xf numFmtId="350" fontId="53" fillId="30" borderId="133" applyNumberFormat="0" applyProtection="0">
      <alignment horizontal="left" vertical="top" indent="1"/>
    </xf>
    <xf numFmtId="350" fontId="53" fillId="19" borderId="133" applyNumberFormat="0" applyProtection="0">
      <alignment horizontal="left" vertical="top" indent="1"/>
    </xf>
    <xf numFmtId="4" fontId="274" fillId="33" borderId="128" applyNumberFormat="0" applyProtection="0">
      <alignment horizontal="right" vertical="center"/>
    </xf>
    <xf numFmtId="37" fontId="64" fillId="0" borderId="136" applyNumberFormat="0"/>
    <xf numFmtId="350" fontId="15" fillId="0" borderId="137" applyNumberFormat="0" applyFill="0" applyAlignment="0" applyProtection="0"/>
    <xf numFmtId="350" fontId="15" fillId="0" borderId="137" applyNumberFormat="0" applyFill="0" applyAlignment="0" applyProtection="0"/>
    <xf numFmtId="350" fontId="53" fillId="30" borderId="128" applyNumberFormat="0" applyProtection="0">
      <alignment horizontal="left" vertical="center" indent="1"/>
    </xf>
    <xf numFmtId="350" fontId="268" fillId="129" borderId="128" applyNumberFormat="0" applyAlignment="0" applyProtection="0"/>
    <xf numFmtId="350" fontId="268" fillId="129" borderId="128" applyNumberFormat="0" applyAlignment="0" applyProtection="0"/>
    <xf numFmtId="210" fontId="64" fillId="0" borderId="28" applyFill="0"/>
    <xf numFmtId="4" fontId="53" fillId="0" borderId="128" applyNumberFormat="0" applyProtection="0">
      <alignment horizontal="right" vertical="center"/>
    </xf>
    <xf numFmtId="4" fontId="270" fillId="50" borderId="128" applyNumberFormat="0" applyProtection="0">
      <alignment horizontal="right" vertical="center"/>
    </xf>
    <xf numFmtId="4" fontId="53" fillId="64" borderId="128" applyNumberFormat="0" applyProtection="0">
      <alignment horizontal="left" vertical="center" indent="1"/>
    </xf>
    <xf numFmtId="4" fontId="274" fillId="33" borderId="128" applyNumberFormat="0" applyProtection="0">
      <alignment horizontal="right" vertical="center"/>
    </xf>
    <xf numFmtId="350" fontId="53" fillId="32" borderId="133" applyNumberFormat="0" applyProtection="0">
      <alignment horizontal="left" vertical="top" indent="1"/>
    </xf>
    <xf numFmtId="4" fontId="272" fillId="61" borderId="133" applyNumberFormat="0" applyProtection="0">
      <alignment horizontal="left" vertical="center" indent="1"/>
    </xf>
    <xf numFmtId="4" fontId="272" fillId="34" borderId="133" applyNumberFormat="0" applyProtection="0">
      <alignment vertical="center"/>
    </xf>
    <xf numFmtId="350" fontId="9" fillId="32" borderId="133" applyNumberFormat="0" applyProtection="0">
      <alignment horizontal="left" vertical="top" indent="1"/>
    </xf>
    <xf numFmtId="350" fontId="53" fillId="32" borderId="128" applyNumberFormat="0" applyProtection="0">
      <alignment horizontal="left" vertical="center" indent="1"/>
    </xf>
    <xf numFmtId="350" fontId="53" fillId="31" borderId="133" applyNumberFormat="0" applyProtection="0">
      <alignment horizontal="left" vertical="top" indent="1"/>
    </xf>
    <xf numFmtId="350" fontId="53" fillId="13" borderId="128" applyNumberFormat="0" applyFont="0" applyAlignment="0" applyProtection="0"/>
    <xf numFmtId="350" fontId="53" fillId="30" borderId="133" applyNumberFormat="0" applyProtection="0">
      <alignment horizontal="left" vertical="top" indent="1"/>
    </xf>
    <xf numFmtId="350" fontId="53" fillId="19" borderId="133" applyNumberFormat="0" applyProtection="0">
      <alignment horizontal="left" vertical="top" indent="1"/>
    </xf>
    <xf numFmtId="350" fontId="268" fillId="129" borderId="128" applyNumberFormat="0" applyAlignment="0" applyProtection="0"/>
    <xf numFmtId="350" fontId="15" fillId="0" borderId="137" applyNumberFormat="0" applyFill="0" applyAlignment="0" applyProtection="0"/>
    <xf numFmtId="350" fontId="15" fillId="0" borderId="137" applyNumberFormat="0" applyFill="0" applyAlignment="0" applyProtection="0"/>
    <xf numFmtId="37" fontId="64" fillId="0" borderId="136" applyNumberFormat="0"/>
    <xf numFmtId="4" fontId="274" fillId="33" borderId="128" applyNumberFormat="0" applyProtection="0">
      <alignment horizontal="right" vertical="center"/>
    </xf>
    <xf numFmtId="4" fontId="273" fillId="35" borderId="134" applyNumberFormat="0" applyProtection="0">
      <alignment horizontal="left" vertical="center" indent="1"/>
    </xf>
    <xf numFmtId="350" fontId="272" fillId="19" borderId="133" applyNumberFormat="0" applyProtection="0">
      <alignment horizontal="left" vertical="top" indent="1"/>
    </xf>
    <xf numFmtId="4" fontId="53" fillId="64" borderId="128" applyNumberFormat="0" applyProtection="0">
      <alignment horizontal="left" vertical="center" indent="1"/>
    </xf>
    <xf numFmtId="4" fontId="270" fillId="50" borderId="128" applyNumberFormat="0" applyProtection="0">
      <alignment horizontal="right" vertical="center"/>
    </xf>
    <xf numFmtId="4" fontId="53" fillId="0" borderId="128" applyNumberFormat="0" applyProtection="0">
      <alignment horizontal="right" vertical="center"/>
    </xf>
    <xf numFmtId="350" fontId="272" fillId="34"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9" fillId="30"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center"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center" indent="1"/>
    </xf>
    <xf numFmtId="350" fontId="53" fillId="83" borderId="128"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350" fontId="53" fillId="61" borderId="128" applyNumberFormat="0" applyProtection="0">
      <alignment horizontal="left" vertical="center" indent="1"/>
    </xf>
    <xf numFmtId="4" fontId="53" fillId="19" borderId="134" applyNumberFormat="0" applyProtection="0">
      <alignment horizontal="left" vertical="center" indent="1"/>
    </xf>
    <xf numFmtId="4" fontId="53" fillId="30" borderId="134" applyNumberFormat="0" applyProtection="0">
      <alignment horizontal="left" vertical="center" indent="1"/>
    </xf>
    <xf numFmtId="4" fontId="53" fillId="19" borderId="128" applyNumberFormat="0" applyProtection="0">
      <alignment horizontal="right" vertical="center"/>
    </xf>
    <xf numFmtId="4" fontId="9" fillId="31" borderId="134" applyNumberFormat="0" applyProtection="0">
      <alignment horizontal="left" vertical="center" indent="1"/>
    </xf>
    <xf numFmtId="4" fontId="9" fillId="31" borderId="134" applyNumberFormat="0" applyProtection="0">
      <alignment horizontal="left" vertical="center" indent="1"/>
    </xf>
    <xf numFmtId="4" fontId="53" fillId="29" borderId="134" applyNumberFormat="0" applyProtection="0">
      <alignment horizontal="left" vertical="center" indent="1"/>
    </xf>
    <xf numFmtId="4" fontId="53" fillId="28" borderId="128" applyNumberFormat="0" applyProtection="0">
      <alignment horizontal="right" vertical="center"/>
    </xf>
    <xf numFmtId="4" fontId="53" fillId="27" borderId="128" applyNumberFormat="0" applyProtection="0">
      <alignment horizontal="right" vertical="center"/>
    </xf>
    <xf numFmtId="4" fontId="53" fillId="26" borderId="128" applyNumberFormat="0" applyProtection="0">
      <alignment horizontal="right" vertical="center"/>
    </xf>
    <xf numFmtId="4" fontId="53" fillId="25" borderId="128" applyNumberFormat="0" applyProtection="0">
      <alignment horizontal="right" vertical="center"/>
    </xf>
    <xf numFmtId="4" fontId="53" fillId="24" borderId="128" applyNumberFormat="0" applyProtection="0">
      <alignment horizontal="right" vertical="center"/>
    </xf>
    <xf numFmtId="4" fontId="53" fillId="23" borderId="128" applyNumberFormat="0" applyProtection="0">
      <alignment horizontal="right" vertical="center"/>
    </xf>
    <xf numFmtId="4" fontId="53" fillId="22" borderId="134" applyNumberFormat="0" applyProtection="0">
      <alignment horizontal="right" vertical="center"/>
    </xf>
    <xf numFmtId="4" fontId="53" fillId="132" borderId="128" applyNumberFormat="0" applyProtection="0">
      <alignment horizontal="right" vertical="center"/>
    </xf>
    <xf numFmtId="4" fontId="53" fillId="20" borderId="128" applyNumberFormat="0" applyProtection="0">
      <alignment horizontal="right" vertical="center"/>
    </xf>
    <xf numFmtId="4" fontId="53" fillId="64" borderId="128" applyNumberFormat="0" applyProtection="0">
      <alignment horizontal="left" vertical="center" indent="1"/>
    </xf>
    <xf numFmtId="350" fontId="271" fillId="18" borderId="133" applyNumberFormat="0" applyProtection="0">
      <alignment horizontal="left" vertical="top" indent="1"/>
    </xf>
    <xf numFmtId="4" fontId="53" fillId="45" borderId="128" applyNumberFormat="0" applyProtection="0">
      <alignment horizontal="left" vertical="center" indent="1"/>
    </xf>
    <xf numFmtId="4" fontId="270" fillId="45" borderId="128" applyNumberFormat="0" applyProtection="0">
      <alignment vertical="center"/>
    </xf>
    <xf numFmtId="4" fontId="53" fillId="18" borderId="128" applyNumberFormat="0" applyProtection="0">
      <alignment vertical="center"/>
    </xf>
    <xf numFmtId="350" fontId="184" fillId="129" borderId="132" applyNumberFormat="0" applyAlignment="0" applyProtection="0"/>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42" fillId="14" borderId="128" applyNumberFormat="0" applyAlignment="0" applyProtection="0"/>
    <xf numFmtId="350" fontId="142" fillId="14" borderId="128" applyNumberFormat="0" applyAlignment="0" applyProtection="0"/>
    <xf numFmtId="350" fontId="268" fillId="129" borderId="128" applyNumberFormat="0" applyAlignment="0" applyProtection="0"/>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9" fillId="19" borderId="133" applyNumberFormat="0" applyProtection="0">
      <alignment horizontal="left" vertical="top" indent="1"/>
    </xf>
    <xf numFmtId="350" fontId="53" fillId="31" borderId="133" applyNumberFormat="0" applyProtection="0">
      <alignment horizontal="left" vertical="top" indent="1"/>
    </xf>
    <xf numFmtId="350" fontId="93" fillId="31" borderId="135" applyBorder="0"/>
    <xf numFmtId="350" fontId="53" fillId="13" borderId="128" applyNumberFormat="0" applyFont="0" applyAlignment="0" applyProtection="0"/>
    <xf numFmtId="350" fontId="53" fillId="30" borderId="133" applyNumberFormat="0" applyProtection="0">
      <alignment horizontal="left" vertical="top" indent="1"/>
    </xf>
    <xf numFmtId="350" fontId="9" fillId="30" borderId="133" applyNumberFormat="0" applyProtection="0">
      <alignment horizontal="left" vertical="center"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9" fillId="30" borderId="133" applyNumberFormat="0" applyProtection="0">
      <alignment horizontal="left" vertical="top" indent="1"/>
    </xf>
    <xf numFmtId="4" fontId="270" fillId="50" borderId="128" applyNumberFormat="0" applyProtection="0">
      <alignment horizontal="right" vertical="center"/>
    </xf>
    <xf numFmtId="4" fontId="53" fillId="64" borderId="128" applyNumberFormat="0" applyProtection="0">
      <alignment horizontal="left" vertical="center" indent="1"/>
    </xf>
    <xf numFmtId="350" fontId="272" fillId="19" borderId="133" applyNumberFormat="0" applyProtection="0">
      <alignment horizontal="left" vertical="top" indent="1"/>
    </xf>
    <xf numFmtId="4" fontId="273" fillId="35" borderId="134" applyNumberFormat="0" applyProtection="0">
      <alignment horizontal="left" vertical="center" indent="1"/>
    </xf>
    <xf numFmtId="37" fontId="64" fillId="0" borderId="136" applyNumberFormat="0"/>
    <xf numFmtId="350" fontId="15" fillId="0" borderId="137" applyNumberFormat="0" applyFill="0" applyAlignment="0" applyProtection="0"/>
    <xf numFmtId="350" fontId="53" fillId="32" borderId="133" applyNumberFormat="0" applyProtection="0">
      <alignment horizontal="left" vertical="top" indent="1"/>
    </xf>
    <xf numFmtId="350" fontId="53" fillId="19" borderId="133" applyNumberFormat="0" applyProtection="0">
      <alignment horizontal="left" vertical="top" indent="1"/>
    </xf>
    <xf numFmtId="4" fontId="53" fillId="23" borderId="128" applyNumberFormat="0" applyProtection="0">
      <alignment horizontal="right" vertical="center"/>
    </xf>
    <xf numFmtId="350" fontId="53" fillId="83" borderId="128" applyNumberFormat="0" applyProtection="0">
      <alignment horizontal="left" vertical="center"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4" fontId="53" fillId="64" borderId="128" applyNumberFormat="0" applyProtection="0">
      <alignment horizontal="left" vertical="center" indent="1"/>
    </xf>
    <xf numFmtId="350" fontId="53" fillId="30" borderId="128" applyNumberFormat="0" applyProtection="0">
      <alignment horizontal="left" vertical="center" indent="1"/>
    </xf>
    <xf numFmtId="210" fontId="64" fillId="0" borderId="28" applyFill="0"/>
    <xf numFmtId="4" fontId="272" fillId="34" borderId="133" applyNumberFormat="0" applyProtection="0">
      <alignment vertical="center"/>
    </xf>
    <xf numFmtId="350" fontId="15" fillId="0" borderId="137" applyNumberFormat="0" applyFill="0" applyAlignment="0" applyProtection="0"/>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350" fontId="53" fillId="61" borderId="128" applyNumberFormat="0" applyProtection="0">
      <alignment horizontal="left" vertical="center" indent="1"/>
    </xf>
    <xf numFmtId="4" fontId="53" fillId="26" borderId="128" applyNumberFormat="0" applyProtection="0">
      <alignment horizontal="right" vertical="center"/>
    </xf>
    <xf numFmtId="4" fontId="53" fillId="25" borderId="128" applyNumberFormat="0" applyProtection="0">
      <alignment horizontal="right" vertical="center"/>
    </xf>
    <xf numFmtId="4" fontId="53" fillId="24" borderId="128" applyNumberFormat="0" applyProtection="0">
      <alignment horizontal="right" vertical="center"/>
    </xf>
    <xf numFmtId="4" fontId="53" fillId="23" borderId="128" applyNumberFormat="0" applyProtection="0">
      <alignment horizontal="right" vertical="center"/>
    </xf>
    <xf numFmtId="4" fontId="53" fillId="18" borderId="128" applyNumberFormat="0" applyProtection="0">
      <alignment vertical="center"/>
    </xf>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142" fillId="14" borderId="128" applyNumberFormat="0" applyAlignment="0" applyProtection="0"/>
    <xf numFmtId="350" fontId="9" fillId="30" borderId="133" applyNumberFormat="0" applyProtection="0">
      <alignment horizontal="left" vertical="center" indent="1"/>
    </xf>
    <xf numFmtId="350" fontId="268" fillId="129" borderId="128" applyNumberFormat="0" applyAlignment="0" applyProtection="0"/>
    <xf numFmtId="350" fontId="53" fillId="30" borderId="128" applyNumberFormat="0" applyProtection="0">
      <alignment horizontal="left" vertical="center" indent="1"/>
    </xf>
    <xf numFmtId="350" fontId="53" fillId="32" borderId="133" applyNumberFormat="0" applyProtection="0">
      <alignment horizontal="left" vertical="top" indent="1"/>
    </xf>
    <xf numFmtId="37" fontId="64" fillId="0" borderId="136" applyNumberFormat="0"/>
    <xf numFmtId="350" fontId="53" fillId="13" borderId="128" applyNumberFormat="0" applyFont="0" applyAlignment="0" applyProtection="0"/>
    <xf numFmtId="4" fontId="273" fillId="35" borderId="134" applyNumberFormat="0" applyProtection="0">
      <alignment horizontal="left" vertical="center" indent="1"/>
    </xf>
    <xf numFmtId="164" fontId="12" fillId="0" borderId="0" applyFont="0" applyFill="0" applyBorder="0" applyAlignment="0" applyProtection="0"/>
    <xf numFmtId="350" fontId="53" fillId="13" borderId="128" applyNumberFormat="0" applyFont="0" applyAlignment="0" applyProtection="0"/>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4" fontId="272" fillId="34" borderId="133" applyNumberFormat="0" applyProtection="0">
      <alignment vertical="center"/>
    </xf>
    <xf numFmtId="4" fontId="274" fillId="33" borderId="128" applyNumberFormat="0" applyProtection="0">
      <alignment horizontal="right" vertical="center"/>
    </xf>
    <xf numFmtId="350" fontId="15" fillId="0" borderId="137" applyNumberFormat="0" applyFill="0" applyAlignment="0" applyProtection="0"/>
    <xf numFmtId="350" fontId="9" fillId="30" borderId="133" applyNumberFormat="0" applyProtection="0">
      <alignment horizontal="left" vertical="top" indent="1"/>
    </xf>
    <xf numFmtId="4" fontId="53" fillId="26" borderId="128" applyNumberFormat="0" applyProtection="0">
      <alignment horizontal="right" vertical="center"/>
    </xf>
    <xf numFmtId="4" fontId="274" fillId="33" borderId="128" applyNumberFormat="0" applyProtection="0">
      <alignment horizontal="right" vertical="center"/>
    </xf>
    <xf numFmtId="350" fontId="15" fillId="0" borderId="137" applyNumberFormat="0" applyFill="0" applyAlignment="0" applyProtection="0"/>
    <xf numFmtId="350" fontId="9" fillId="30" borderId="133" applyNumberFormat="0" applyProtection="0">
      <alignment horizontal="left" vertical="center" indent="1"/>
    </xf>
    <xf numFmtId="350" fontId="53" fillId="19" borderId="133" applyNumberFormat="0" applyProtection="0">
      <alignment horizontal="left" vertical="top" indent="1"/>
    </xf>
    <xf numFmtId="350" fontId="268" fillId="129" borderId="128" applyNumberFormat="0" applyAlignment="0" applyProtection="0"/>
    <xf numFmtId="4" fontId="53" fillId="24" borderId="128" applyNumberFormat="0" applyProtection="0">
      <alignment horizontal="right" vertical="center"/>
    </xf>
    <xf numFmtId="210" fontId="64" fillId="0" borderId="28" applyFill="0"/>
    <xf numFmtId="350" fontId="53" fillId="13" borderId="128" applyNumberFormat="0" applyFont="0" applyAlignment="0" applyProtection="0"/>
    <xf numFmtId="350" fontId="272" fillId="34" borderId="133" applyNumberFormat="0" applyProtection="0">
      <alignment horizontal="left" vertical="top" indent="1"/>
    </xf>
    <xf numFmtId="4" fontId="272" fillId="34" borderId="133" applyNumberFormat="0" applyProtection="0">
      <alignment vertical="center"/>
    </xf>
    <xf numFmtId="350" fontId="53" fillId="13" borderId="128" applyNumberFormat="0" applyFont="0" applyAlignment="0" applyProtection="0"/>
    <xf numFmtId="350" fontId="53" fillId="13" borderId="128" applyNumberFormat="0" applyFont="0" applyAlignment="0" applyProtection="0"/>
    <xf numFmtId="350" fontId="271" fillId="18" borderId="133" applyNumberFormat="0" applyProtection="0">
      <alignment horizontal="left" vertical="top" indent="1"/>
    </xf>
    <xf numFmtId="4" fontId="53" fillId="25" borderId="128" applyNumberFormat="0" applyProtection="0">
      <alignment horizontal="right" vertical="center"/>
    </xf>
    <xf numFmtId="4" fontId="53" fillId="19" borderId="128" applyNumberFormat="0" applyProtection="0">
      <alignment horizontal="right" vertical="center"/>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9" fillId="32" borderId="133" applyNumberFormat="0" applyProtection="0">
      <alignment horizontal="left" vertical="center" indent="1"/>
    </xf>
    <xf numFmtId="350" fontId="142" fillId="14" borderId="128" applyNumberFormat="0" applyAlignment="0" applyProtection="0"/>
    <xf numFmtId="37" fontId="64" fillId="0" borderId="136" applyNumberFormat="0"/>
    <xf numFmtId="350" fontId="53" fillId="30" borderId="128" applyNumberFormat="0" applyProtection="0">
      <alignment horizontal="left" vertical="center"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9" fillId="19" borderId="133" applyNumberFormat="0" applyProtection="0">
      <alignment horizontal="left" vertical="top" indent="1"/>
    </xf>
    <xf numFmtId="350" fontId="53" fillId="31" borderId="133" applyNumberFormat="0" applyProtection="0">
      <alignment horizontal="left" vertical="top" indent="1"/>
    </xf>
    <xf numFmtId="4" fontId="53" fillId="29" borderId="134" applyNumberFormat="0" applyProtection="0">
      <alignment horizontal="left" vertical="center" indent="1"/>
    </xf>
    <xf numFmtId="350" fontId="142" fillId="14" borderId="128" applyNumberFormat="0" applyAlignment="0" applyProtection="0"/>
    <xf numFmtId="4" fontId="270" fillId="50" borderId="128" applyNumberFormat="0" applyProtection="0">
      <alignment horizontal="right" vertical="center"/>
    </xf>
    <xf numFmtId="4" fontId="272" fillId="34" borderId="133" applyNumberFormat="0" applyProtection="0">
      <alignment vertical="center"/>
    </xf>
    <xf numFmtId="350" fontId="53" fillId="30" borderId="133" applyNumberFormat="0" applyProtection="0">
      <alignment horizontal="left" vertical="top" indent="1"/>
    </xf>
    <xf numFmtId="4" fontId="272" fillId="61" borderId="133" applyNumberFormat="0" applyProtection="0">
      <alignment horizontal="left" vertical="center" indent="1"/>
    </xf>
    <xf numFmtId="350" fontId="9" fillId="30" borderId="133" applyNumberFormat="0" applyProtection="0">
      <alignment horizontal="left" vertical="center" indent="1"/>
    </xf>
    <xf numFmtId="4" fontId="53" fillId="64" borderId="128" applyNumberFormat="0" applyProtection="0">
      <alignment horizontal="left" vertical="center" indent="1"/>
    </xf>
    <xf numFmtId="350" fontId="53" fillId="32" borderId="128" applyNumberFormat="0" applyProtection="0">
      <alignment horizontal="left" vertical="center"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9" fillId="32" borderId="133" applyNumberFormat="0" applyProtection="0">
      <alignment horizontal="left" vertical="top" indent="1"/>
    </xf>
    <xf numFmtId="350" fontId="53" fillId="19" borderId="133" applyNumberFormat="0" applyProtection="0">
      <alignment horizontal="left" vertical="top" indent="1"/>
    </xf>
    <xf numFmtId="350" fontId="9" fillId="19" borderId="133" applyNumberFormat="0" applyProtection="0">
      <alignment horizontal="left" vertical="center" indent="1"/>
    </xf>
    <xf numFmtId="350" fontId="53" fillId="31" borderId="133" applyNumberFormat="0" applyProtection="0">
      <alignment horizontal="left" vertical="top" indent="1"/>
    </xf>
    <xf numFmtId="350" fontId="53" fillId="83" borderId="128" applyNumberFormat="0" applyProtection="0">
      <alignment horizontal="left" vertical="center" indent="1"/>
    </xf>
    <xf numFmtId="4" fontId="53" fillId="27" borderId="128" applyNumberFormat="0" applyProtection="0">
      <alignment horizontal="right" vertical="center"/>
    </xf>
    <xf numFmtId="4" fontId="53" fillId="30" borderId="134" applyNumberFormat="0" applyProtection="0">
      <alignment horizontal="left" vertical="center" indent="1"/>
    </xf>
    <xf numFmtId="4" fontId="53" fillId="64" borderId="128" applyNumberFormat="0" applyProtection="0">
      <alignment horizontal="left" vertical="center" indent="1"/>
    </xf>
    <xf numFmtId="4" fontId="53" fillId="27" borderId="128" applyNumberFormat="0" applyProtection="0">
      <alignment horizontal="right" vertical="center"/>
    </xf>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142" fillId="14" borderId="128" applyNumberFormat="0" applyAlignment="0" applyProtection="0"/>
    <xf numFmtId="350" fontId="53" fillId="13" borderId="128" applyNumberFormat="0" applyFont="0" applyAlignment="0" applyProtection="0"/>
    <xf numFmtId="4" fontId="270" fillId="45" borderId="128" applyNumberFormat="0" applyProtection="0">
      <alignment vertical="center"/>
    </xf>
    <xf numFmtId="4" fontId="53" fillId="25" borderId="128" applyNumberFormat="0" applyProtection="0">
      <alignment horizontal="right" vertical="center"/>
    </xf>
    <xf numFmtId="4" fontId="53" fillId="19" borderId="134" applyNumberFormat="0" applyProtection="0">
      <alignment horizontal="left" vertical="center"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164" fontId="12" fillId="0" borderId="0" applyFont="0" applyFill="0" applyBorder="0" applyAlignment="0" applyProtection="0"/>
    <xf numFmtId="4" fontId="53" fillId="23" borderId="128" applyNumberFormat="0" applyProtection="0">
      <alignment horizontal="right" vertical="center"/>
    </xf>
    <xf numFmtId="164" fontId="12" fillId="0" borderId="0" applyFont="0" applyFill="0" applyBorder="0" applyAlignment="0" applyProtection="0"/>
    <xf numFmtId="350" fontId="53" fillId="13" borderId="128" applyNumberFormat="0" applyFont="0" applyAlignment="0" applyProtection="0"/>
    <xf numFmtId="4" fontId="53" fillId="18" borderId="128" applyNumberFormat="0" applyProtection="0">
      <alignment vertical="center"/>
    </xf>
    <xf numFmtId="4" fontId="270" fillId="45" borderId="128" applyNumberFormat="0" applyProtection="0">
      <alignment vertical="center"/>
    </xf>
    <xf numFmtId="4" fontId="53" fillId="25" borderId="128" applyNumberFormat="0" applyProtection="0">
      <alignment horizontal="right" vertical="center"/>
    </xf>
    <xf numFmtId="4" fontId="53" fillId="29" borderId="134" applyNumberFormat="0" applyProtection="0">
      <alignment horizontal="left" vertical="center" indent="1"/>
    </xf>
    <xf numFmtId="4" fontId="53" fillId="132" borderId="128" applyNumberFormat="0" applyProtection="0">
      <alignment horizontal="right" vertical="center"/>
    </xf>
    <xf numFmtId="4" fontId="53" fillId="19" borderId="128" applyNumberFormat="0" applyProtection="0">
      <alignment horizontal="right" vertical="center"/>
    </xf>
    <xf numFmtId="350" fontId="53" fillId="61" borderId="128" applyNumberFormat="0" applyProtection="0">
      <alignment horizontal="left" vertical="center" indent="1"/>
    </xf>
    <xf numFmtId="210" fontId="64" fillId="0" borderId="28" applyFill="0"/>
    <xf numFmtId="350" fontId="53" fillId="32" borderId="133" applyNumberFormat="0" applyProtection="0">
      <alignment horizontal="left" vertical="top" indent="1"/>
    </xf>
    <xf numFmtId="4" fontId="53" fillId="19" borderId="128" applyNumberFormat="0" applyProtection="0">
      <alignment horizontal="right" vertical="center"/>
    </xf>
    <xf numFmtId="350" fontId="184" fillId="129" borderId="132" applyNumberFormat="0" applyAlignment="0" applyProtection="0"/>
    <xf numFmtId="350" fontId="53" fillId="13" borderId="128" applyNumberFormat="0" applyFont="0" applyAlignment="0" applyProtection="0"/>
    <xf numFmtId="350" fontId="184" fillId="129" borderId="132" applyNumberFormat="0" applyAlignment="0" applyProtection="0"/>
    <xf numFmtId="350" fontId="53" fillId="61" borderId="128" applyNumberFormat="0" applyProtection="0">
      <alignment horizontal="left" vertical="center"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center" indent="1"/>
    </xf>
    <xf numFmtId="4" fontId="53" fillId="27" borderId="128" applyNumberFormat="0" applyProtection="0">
      <alignment horizontal="right" vertical="center"/>
    </xf>
    <xf numFmtId="350" fontId="271" fillId="18" borderId="133" applyNumberFormat="0" applyProtection="0">
      <alignment horizontal="left" vertical="top" indent="1"/>
    </xf>
    <xf numFmtId="350" fontId="53" fillId="13" borderId="128" applyNumberFormat="0" applyFont="0" applyAlignment="0" applyProtection="0"/>
    <xf numFmtId="350" fontId="142" fillId="14" borderId="128"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4" fontId="53" fillId="132" borderId="128" applyNumberFormat="0" applyProtection="0">
      <alignment horizontal="right" vertical="center"/>
    </xf>
    <xf numFmtId="4" fontId="53" fillId="45" borderId="128" applyNumberFormat="0" applyProtection="0">
      <alignment horizontal="left" vertical="center" indent="1"/>
    </xf>
    <xf numFmtId="4" fontId="9" fillId="31" borderId="134" applyNumberFormat="0" applyProtection="0">
      <alignment horizontal="left" vertical="center" indent="1"/>
    </xf>
    <xf numFmtId="4" fontId="53" fillId="25" borderId="128" applyNumberFormat="0" applyProtection="0">
      <alignment horizontal="right" vertical="center"/>
    </xf>
    <xf numFmtId="4" fontId="53" fillId="23" borderId="128" applyNumberFormat="0" applyProtection="0">
      <alignment horizontal="right" vertical="center"/>
    </xf>
    <xf numFmtId="350" fontId="53" fillId="31" borderId="133" applyNumberFormat="0" applyProtection="0">
      <alignment horizontal="left" vertical="top" indent="1"/>
    </xf>
    <xf numFmtId="350" fontId="268" fillId="129" borderId="128" applyNumberFormat="0" applyAlignment="0" applyProtection="0"/>
    <xf numFmtId="350" fontId="53" fillId="19" borderId="133" applyNumberFormat="0" applyProtection="0">
      <alignment horizontal="left" vertical="top"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9" fillId="30" borderId="133" applyNumberFormat="0" applyProtection="0">
      <alignment horizontal="left" vertical="top" indent="1"/>
    </xf>
    <xf numFmtId="350" fontId="53" fillId="30" borderId="133" applyNumberFormat="0" applyProtection="0">
      <alignment horizontal="left" vertical="top" indent="1"/>
    </xf>
    <xf numFmtId="4" fontId="53" fillId="0" borderId="128" applyNumberFormat="0" applyProtection="0">
      <alignment horizontal="right" vertical="center"/>
    </xf>
    <xf numFmtId="350" fontId="15" fillId="0" borderId="137" applyNumberFormat="0" applyFill="0" applyAlignment="0" applyProtection="0"/>
    <xf numFmtId="350" fontId="93" fillId="31" borderId="135" applyBorder="0"/>
    <xf numFmtId="350" fontId="53" fillId="30" borderId="133" applyNumberFormat="0" applyProtection="0">
      <alignment horizontal="left" vertical="top" indent="1"/>
    </xf>
    <xf numFmtId="350" fontId="53" fillId="30" borderId="133" applyNumberFormat="0" applyProtection="0">
      <alignment horizontal="left" vertical="top" indent="1"/>
    </xf>
    <xf numFmtId="210" fontId="64" fillId="0" borderId="28" applyFill="0"/>
    <xf numFmtId="350" fontId="53" fillId="30" borderId="133" applyNumberFormat="0" applyProtection="0">
      <alignment horizontal="left" vertical="top" indent="1"/>
    </xf>
    <xf numFmtId="4" fontId="53" fillId="27" borderId="128" applyNumberFormat="0" applyProtection="0">
      <alignment horizontal="right" vertical="center"/>
    </xf>
    <xf numFmtId="4" fontId="53" fillId="19" borderId="134" applyNumberFormat="0" applyProtection="0">
      <alignment horizontal="left" vertical="center" indent="1"/>
    </xf>
    <xf numFmtId="350" fontId="53" fillId="31" borderId="133" applyNumberFormat="0" applyProtection="0">
      <alignment horizontal="left" vertical="top" indent="1"/>
    </xf>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4" fontId="273" fillId="35" borderId="134" applyNumberFormat="0" applyProtection="0">
      <alignment horizontal="left" vertical="center" indent="1"/>
    </xf>
    <xf numFmtId="350" fontId="142" fillId="14" borderId="128" applyNumberFormat="0" applyAlignment="0" applyProtection="0"/>
    <xf numFmtId="350" fontId="9" fillId="32" borderId="133" applyNumberFormat="0" applyProtection="0">
      <alignment horizontal="left" vertical="top" indent="1"/>
    </xf>
    <xf numFmtId="350" fontId="142" fillId="14" borderId="128" applyNumberFormat="0" applyAlignment="0" applyProtection="0"/>
    <xf numFmtId="350" fontId="9" fillId="19" borderId="133" applyNumberFormat="0" applyProtection="0">
      <alignment horizontal="left" vertical="center" indent="1"/>
    </xf>
    <xf numFmtId="350" fontId="53" fillId="31" borderId="133" applyNumberFormat="0" applyProtection="0">
      <alignment horizontal="left" vertical="top" indent="1"/>
    </xf>
    <xf numFmtId="4" fontId="53" fillId="19" borderId="134" applyNumberFormat="0" applyProtection="0">
      <alignment horizontal="left" vertical="center" indent="1"/>
    </xf>
    <xf numFmtId="4" fontId="53" fillId="27" borderId="128" applyNumberFormat="0" applyProtection="0">
      <alignment horizontal="right" vertical="center"/>
    </xf>
    <xf numFmtId="4" fontId="53" fillId="20" borderId="128" applyNumberFormat="0" applyProtection="0">
      <alignment horizontal="right" vertical="center"/>
    </xf>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32" borderId="128" applyNumberFormat="0" applyProtection="0">
      <alignment horizontal="left" vertical="center" indent="1"/>
    </xf>
    <xf numFmtId="4" fontId="53" fillId="132" borderId="128" applyNumberFormat="0" applyProtection="0">
      <alignment horizontal="right" vertical="center"/>
    </xf>
    <xf numFmtId="350" fontId="53" fillId="30" borderId="133" applyNumberFormat="0" applyProtection="0">
      <alignment horizontal="left" vertical="top" indent="1"/>
    </xf>
    <xf numFmtId="4" fontId="53" fillId="30" borderId="134" applyNumberFormat="0" applyProtection="0">
      <alignment horizontal="left" vertical="center" indent="1"/>
    </xf>
    <xf numFmtId="350" fontId="53" fillId="31" borderId="133" applyNumberFormat="0" applyProtection="0">
      <alignment horizontal="left" vertical="top" indent="1"/>
    </xf>
    <xf numFmtId="350" fontId="53" fillId="83" borderId="128" applyNumberFormat="0" applyProtection="0">
      <alignment horizontal="left" vertical="center"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272" fillId="19" borderId="133" applyNumberFormat="0" applyProtection="0">
      <alignment horizontal="left" vertical="top" indent="1"/>
    </xf>
    <xf numFmtId="4" fontId="53" fillId="0" borderId="128" applyNumberFormat="0" applyProtection="0">
      <alignment horizontal="right" vertical="center"/>
    </xf>
    <xf numFmtId="350" fontId="9" fillId="32" borderId="133" applyNumberFormat="0" applyProtection="0">
      <alignment horizontal="left" vertical="top" indent="1"/>
    </xf>
    <xf numFmtId="37" fontId="64" fillId="0" borderId="136" applyNumberFormat="0"/>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4" fontId="53" fillId="19" borderId="134" applyNumberFormat="0" applyProtection="0">
      <alignment horizontal="left" vertical="center" indent="1"/>
    </xf>
    <xf numFmtId="4" fontId="53" fillId="22" borderId="134" applyNumberFormat="0" applyProtection="0">
      <alignment horizontal="right" vertical="center"/>
    </xf>
    <xf numFmtId="350" fontId="268" fillId="129" borderId="128" applyNumberFormat="0" applyAlignment="0" applyProtection="0"/>
    <xf numFmtId="350" fontId="53" fillId="32" borderId="133" applyNumberFormat="0" applyProtection="0">
      <alignment horizontal="left" vertical="top" indent="1"/>
    </xf>
    <xf numFmtId="350" fontId="53" fillId="13" borderId="128" applyNumberFormat="0" applyFont="0" applyAlignment="0" applyProtection="0"/>
    <xf numFmtId="350" fontId="53" fillId="13" borderId="128" applyNumberFormat="0" applyFont="0" applyAlignment="0" applyProtection="0"/>
    <xf numFmtId="350" fontId="53" fillId="19" borderId="133" applyNumberFormat="0" applyProtection="0">
      <alignment horizontal="left" vertical="top" indent="1"/>
    </xf>
    <xf numFmtId="350" fontId="9" fillId="31" borderId="133" applyNumberFormat="0" applyProtection="0">
      <alignment horizontal="left" vertical="center" indent="1"/>
    </xf>
    <xf numFmtId="350" fontId="9" fillId="19" borderId="133" applyNumberFormat="0" applyProtection="0">
      <alignment horizontal="left" vertical="top" indent="1"/>
    </xf>
    <xf numFmtId="350" fontId="53" fillId="31" borderId="133" applyNumberFormat="0" applyProtection="0">
      <alignment horizontal="left" vertical="top" indent="1"/>
    </xf>
    <xf numFmtId="4" fontId="53" fillId="0" borderId="128" applyNumberFormat="0" applyProtection="0">
      <alignment horizontal="right" vertical="center"/>
    </xf>
    <xf numFmtId="350" fontId="53" fillId="13" borderId="128" applyNumberFormat="0" applyFont="0" applyAlignment="0" applyProtection="0"/>
    <xf numFmtId="4" fontId="53" fillId="23" borderId="128" applyNumberFormat="0" applyProtection="0">
      <alignment horizontal="right" vertical="center"/>
    </xf>
    <xf numFmtId="4" fontId="53" fillId="23" borderId="128" applyNumberFormat="0" applyProtection="0">
      <alignment horizontal="right" vertical="center"/>
    </xf>
    <xf numFmtId="4" fontId="53" fillId="28" borderId="128" applyNumberFormat="0" applyProtection="0">
      <alignment horizontal="right" vertical="center"/>
    </xf>
    <xf numFmtId="350" fontId="53" fillId="61" borderId="128" applyNumberFormat="0" applyProtection="0">
      <alignment horizontal="left" vertical="center"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4" fontId="274" fillId="33" borderId="128" applyNumberFormat="0" applyProtection="0">
      <alignment horizontal="right" vertical="center"/>
    </xf>
    <xf numFmtId="4" fontId="53" fillId="64" borderId="128" applyNumberFormat="0" applyProtection="0">
      <alignment horizontal="left" vertical="center" indent="1"/>
    </xf>
    <xf numFmtId="350" fontId="53" fillId="30" borderId="133" applyNumberFormat="0" applyProtection="0">
      <alignment horizontal="left" vertical="top" indent="1"/>
    </xf>
    <xf numFmtId="4" fontId="273" fillId="35" borderId="134" applyNumberFormat="0" applyProtection="0">
      <alignment horizontal="left" vertical="center"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4" fontId="53" fillId="19" borderId="128" applyNumberFormat="0" applyProtection="0">
      <alignment horizontal="right" vertical="center"/>
    </xf>
    <xf numFmtId="4" fontId="53" fillId="20" borderId="128" applyNumberFormat="0" applyProtection="0">
      <alignment horizontal="right" vertical="center"/>
    </xf>
    <xf numFmtId="350" fontId="53" fillId="30" borderId="133" applyNumberFormat="0" applyProtection="0">
      <alignment horizontal="left" vertical="top" indent="1"/>
    </xf>
    <xf numFmtId="350" fontId="53" fillId="31" borderId="133" applyNumberFormat="0" applyProtection="0">
      <alignment horizontal="left" vertical="top" indent="1"/>
    </xf>
    <xf numFmtId="350" fontId="53" fillId="13" borderId="128" applyNumberFormat="0" applyFont="0" applyAlignment="0" applyProtection="0"/>
    <xf numFmtId="350" fontId="53" fillId="13" borderId="128" applyNumberFormat="0" applyFont="0" applyAlignment="0" applyProtection="0"/>
    <xf numFmtId="4" fontId="53" fillId="64" borderId="128" applyNumberFormat="0" applyProtection="0">
      <alignment horizontal="left" vertical="center" indent="1"/>
    </xf>
    <xf numFmtId="350" fontId="53" fillId="30" borderId="133" applyNumberFormat="0" applyProtection="0">
      <alignment horizontal="left" vertical="top" indent="1"/>
    </xf>
    <xf numFmtId="350" fontId="53" fillId="19" borderId="133" applyNumberFormat="0" applyProtection="0">
      <alignment horizontal="left" vertical="top" indent="1"/>
    </xf>
    <xf numFmtId="4" fontId="9" fillId="31" borderId="134" applyNumberFormat="0" applyProtection="0">
      <alignment horizontal="left" vertical="center" indent="1"/>
    </xf>
    <xf numFmtId="350" fontId="184" fillId="129" borderId="132" applyNumberFormat="0" applyAlignment="0" applyProtection="0"/>
    <xf numFmtId="164" fontId="12" fillId="0" borderId="0" applyFont="0" applyFill="0" applyBorder="0" applyAlignment="0" applyProtection="0"/>
    <xf numFmtId="350" fontId="271" fillId="18" borderId="133" applyNumberFormat="0" applyProtection="0">
      <alignment horizontal="left" vertical="top" indent="1"/>
    </xf>
    <xf numFmtId="4" fontId="53" fillId="27" borderId="128" applyNumberFormat="0" applyProtection="0">
      <alignment horizontal="right" vertical="center"/>
    </xf>
    <xf numFmtId="4" fontId="53" fillId="19" borderId="134" applyNumberFormat="0" applyProtection="0">
      <alignment horizontal="left" vertical="center" indent="1"/>
    </xf>
    <xf numFmtId="350" fontId="9" fillId="31" borderId="133" applyNumberFormat="0" applyProtection="0">
      <alignment horizontal="left" vertical="top" indent="1"/>
    </xf>
    <xf numFmtId="350" fontId="53" fillId="32" borderId="133" applyNumberFormat="0" applyProtection="0">
      <alignment horizontal="left" vertical="top" indent="1"/>
    </xf>
    <xf numFmtId="350" fontId="53" fillId="32" borderId="128" applyNumberFormat="0" applyProtection="0">
      <alignment horizontal="left" vertical="center" indent="1"/>
    </xf>
    <xf numFmtId="350" fontId="9" fillId="19" borderId="133" applyNumberFormat="0" applyProtection="0">
      <alignment horizontal="left" vertical="center" indent="1"/>
    </xf>
    <xf numFmtId="350" fontId="53" fillId="31" borderId="133" applyNumberFormat="0" applyProtection="0">
      <alignment horizontal="left" vertical="top" indent="1"/>
    </xf>
    <xf numFmtId="4" fontId="9" fillId="31" borderId="134" applyNumberFormat="0" applyProtection="0">
      <alignment horizontal="left" vertical="center" indent="1"/>
    </xf>
    <xf numFmtId="4" fontId="53" fillId="132" borderId="128" applyNumberFormat="0" applyProtection="0">
      <alignment horizontal="right" vertical="center"/>
    </xf>
    <xf numFmtId="350" fontId="53" fillId="13" borderId="128" applyNumberFormat="0" applyFont="0" applyAlignment="0" applyProtection="0"/>
    <xf numFmtId="350" fontId="268" fillId="129" borderId="128" applyNumberFormat="0" applyAlignment="0" applyProtection="0"/>
    <xf numFmtId="350" fontId="142" fillId="14" borderId="128"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4" fontId="270" fillId="45" borderId="128" applyNumberFormat="0" applyProtection="0">
      <alignment vertical="center"/>
    </xf>
    <xf numFmtId="4" fontId="53" fillId="19" borderId="128" applyNumberFormat="0" applyProtection="0">
      <alignment horizontal="right" vertical="center"/>
    </xf>
    <xf numFmtId="4" fontId="53" fillId="132" borderId="128" applyNumberFormat="0" applyProtection="0">
      <alignment horizontal="right" vertical="center"/>
    </xf>
    <xf numFmtId="350" fontId="53" fillId="31" borderId="133" applyNumberFormat="0" applyProtection="0">
      <alignment horizontal="left" vertical="top" indent="1"/>
    </xf>
    <xf numFmtId="4" fontId="53" fillId="29" borderId="134" applyNumberFormat="0" applyProtection="0">
      <alignment horizontal="left" vertical="center" indent="1"/>
    </xf>
    <xf numFmtId="4" fontId="53" fillId="26" borderId="128" applyNumberFormat="0" applyProtection="0">
      <alignment horizontal="right" vertical="center"/>
    </xf>
    <xf numFmtId="350" fontId="53" fillId="31"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53" fillId="30" borderId="133" applyNumberFormat="0" applyProtection="0">
      <alignment horizontal="left" vertical="top" indent="1"/>
    </xf>
    <xf numFmtId="4" fontId="272" fillId="34" borderId="133" applyNumberFormat="0" applyProtection="0">
      <alignment vertical="center"/>
    </xf>
    <xf numFmtId="4" fontId="273" fillId="35" borderId="134" applyNumberFormat="0" applyProtection="0">
      <alignment horizontal="left" vertical="center" indent="1"/>
    </xf>
    <xf numFmtId="350" fontId="53" fillId="19" borderId="133" applyNumberFormat="0" applyProtection="0">
      <alignment horizontal="left" vertical="top" indent="1"/>
    </xf>
    <xf numFmtId="4" fontId="53" fillId="64" borderId="128" applyNumberFormat="0" applyProtection="0">
      <alignment horizontal="left" vertical="center" indent="1"/>
    </xf>
    <xf numFmtId="350" fontId="53" fillId="30" borderId="133" applyNumberFormat="0" applyProtection="0">
      <alignment horizontal="left" vertical="top" indent="1"/>
    </xf>
    <xf numFmtId="4" fontId="53" fillId="0" borderId="128" applyNumberFormat="0" applyProtection="0">
      <alignment horizontal="right" vertical="center"/>
    </xf>
    <xf numFmtId="350" fontId="268" fillId="129" borderId="128" applyNumberFormat="0" applyAlignment="0" applyProtection="0"/>
    <xf numFmtId="350" fontId="53" fillId="13" borderId="128" applyNumberFormat="0" applyFont="0" applyAlignment="0" applyProtection="0"/>
    <xf numFmtId="4" fontId="9" fillId="31" borderId="134" applyNumberFormat="0" applyProtection="0">
      <alignment horizontal="left" vertical="center"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15" fillId="0" borderId="137" applyNumberFormat="0" applyFill="0" applyAlignment="0" applyProtection="0"/>
    <xf numFmtId="350" fontId="53" fillId="13" borderId="128" applyNumberFormat="0" applyFont="0" applyAlignment="0" applyProtection="0"/>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4" fontId="9" fillId="31" borderId="134" applyNumberFormat="0" applyProtection="0">
      <alignment horizontal="left" vertical="center" indent="1"/>
    </xf>
    <xf numFmtId="4" fontId="53" fillId="23" borderId="128" applyNumberFormat="0" applyProtection="0">
      <alignment horizontal="right" vertical="center"/>
    </xf>
    <xf numFmtId="4" fontId="270" fillId="45" borderId="128" applyNumberFormat="0" applyProtection="0">
      <alignment vertical="center"/>
    </xf>
    <xf numFmtId="350" fontId="53" fillId="13" borderId="128" applyNumberFormat="0" applyFont="0" applyAlignment="0" applyProtection="0"/>
    <xf numFmtId="350" fontId="268" fillId="129" borderId="128" applyNumberFormat="0" applyAlignment="0" applyProtection="0"/>
    <xf numFmtId="4" fontId="53" fillId="132" borderId="128" applyNumberFormat="0" applyProtection="0">
      <alignment horizontal="right" vertical="center"/>
    </xf>
    <xf numFmtId="350" fontId="53" fillId="13" borderId="128" applyNumberFormat="0" applyFont="0" applyAlignment="0" applyProtection="0"/>
    <xf numFmtId="350" fontId="272" fillId="34" borderId="133" applyNumberFormat="0" applyProtection="0">
      <alignment horizontal="left" vertical="top" indent="1"/>
    </xf>
    <xf numFmtId="4" fontId="53" fillId="25" borderId="128" applyNumberFormat="0" applyProtection="0">
      <alignment horizontal="right" vertical="center"/>
    </xf>
    <xf numFmtId="4" fontId="9" fillId="31" borderId="134" applyNumberFormat="0" applyProtection="0">
      <alignment horizontal="left" vertical="center"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9" fillId="30" borderId="133" applyNumberFormat="0" applyProtection="0">
      <alignment horizontal="left" vertical="center"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15" fillId="0" borderId="137" applyNumberFormat="0" applyFill="0" applyAlignment="0" applyProtection="0"/>
    <xf numFmtId="350" fontId="53" fillId="32" borderId="133" applyNumberFormat="0" applyProtection="0">
      <alignment horizontal="left" vertical="top" indent="1"/>
    </xf>
    <xf numFmtId="350" fontId="268" fillId="129" borderId="128" applyNumberFormat="0" applyAlignment="0" applyProtection="0"/>
    <xf numFmtId="4" fontId="53" fillId="0" borderId="128" applyNumberFormat="0" applyProtection="0">
      <alignment horizontal="right" vertical="center"/>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83" borderId="128" applyNumberFormat="0" applyProtection="0">
      <alignment horizontal="left" vertical="center" indent="1"/>
    </xf>
    <xf numFmtId="350" fontId="9" fillId="31" borderId="133" applyNumberFormat="0" applyProtection="0">
      <alignment horizontal="left" vertical="top" indent="1"/>
    </xf>
    <xf numFmtId="4" fontId="53" fillId="28" borderId="128" applyNumberFormat="0" applyProtection="0">
      <alignment horizontal="right" vertical="center"/>
    </xf>
    <xf numFmtId="350" fontId="271" fillId="18" borderId="133" applyNumberFormat="0" applyProtection="0">
      <alignment horizontal="left" vertical="top" indent="1"/>
    </xf>
    <xf numFmtId="350" fontId="93" fillId="31" borderId="135" applyBorder="0"/>
    <xf numFmtId="350" fontId="53" fillId="32" borderId="128" applyNumberFormat="0" applyProtection="0">
      <alignment horizontal="left" vertical="center" indent="1"/>
    </xf>
    <xf numFmtId="350" fontId="142" fillId="14" borderId="128" applyNumberFormat="0" applyAlignment="0" applyProtection="0"/>
    <xf numFmtId="4" fontId="272" fillId="61" borderId="133" applyNumberFormat="0" applyProtection="0">
      <alignment horizontal="left" vertical="center" indent="1"/>
    </xf>
    <xf numFmtId="350" fontId="53" fillId="13" borderId="128" applyNumberFormat="0" applyFont="0" applyAlignment="0" applyProtection="0"/>
    <xf numFmtId="350" fontId="268" fillId="129" borderId="128" applyNumberFormat="0" applyAlignment="0" applyProtection="0"/>
    <xf numFmtId="4" fontId="53" fillId="45" borderId="128" applyNumberFormat="0" applyProtection="0">
      <alignment horizontal="left" vertical="center" indent="1"/>
    </xf>
    <xf numFmtId="4" fontId="53" fillId="24" borderId="128" applyNumberFormat="0" applyProtection="0">
      <alignment horizontal="right" vertical="center"/>
    </xf>
    <xf numFmtId="4" fontId="9" fillId="31" borderId="134" applyNumberFormat="0" applyProtection="0">
      <alignment horizontal="left" vertical="center" indent="1"/>
    </xf>
    <xf numFmtId="350" fontId="9" fillId="31" borderId="133" applyNumberFormat="0" applyProtection="0">
      <alignment horizontal="left" vertical="top"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53" fillId="32" borderId="128" applyNumberFormat="0" applyProtection="0">
      <alignment horizontal="left" vertical="center" indent="1"/>
    </xf>
    <xf numFmtId="350" fontId="15" fillId="0" borderId="137" applyNumberFormat="0" applyFill="0" applyAlignment="0" applyProtection="0"/>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4" fontId="9" fillId="31" borderId="134" applyNumberFormat="0" applyProtection="0">
      <alignment horizontal="left" vertical="center" indent="1"/>
    </xf>
    <xf numFmtId="4" fontId="53" fillId="64" borderId="128" applyNumberFormat="0" applyProtection="0">
      <alignment horizontal="left" vertical="center" indent="1"/>
    </xf>
    <xf numFmtId="350" fontId="272" fillId="34" borderId="133" applyNumberFormat="0" applyProtection="0">
      <alignment horizontal="left" vertical="top" indent="1"/>
    </xf>
    <xf numFmtId="350" fontId="53" fillId="30" borderId="133" applyNumberFormat="0" applyProtection="0">
      <alignment horizontal="left" vertical="top" indent="1"/>
    </xf>
    <xf numFmtId="350" fontId="272" fillId="34" borderId="133" applyNumberFormat="0" applyProtection="0">
      <alignment horizontal="left" vertical="top" indent="1"/>
    </xf>
    <xf numFmtId="350" fontId="53" fillId="32" borderId="133" applyNumberFormat="0" applyProtection="0">
      <alignment horizontal="left" vertical="top" indent="1"/>
    </xf>
    <xf numFmtId="350" fontId="272" fillId="19" borderId="133" applyNumberFormat="0" applyProtection="0">
      <alignment horizontal="left" vertical="top" indent="1"/>
    </xf>
    <xf numFmtId="350" fontId="93" fillId="31" borderId="135" applyBorder="0"/>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210" fontId="64" fillId="0" borderId="28" applyFill="0"/>
    <xf numFmtId="4" fontId="53" fillId="28" borderId="128" applyNumberFormat="0" applyProtection="0">
      <alignment horizontal="right" vertical="center"/>
    </xf>
    <xf numFmtId="4" fontId="53" fillId="19" borderId="134" applyNumberFormat="0" applyProtection="0">
      <alignment horizontal="left" vertical="center" indent="1"/>
    </xf>
    <xf numFmtId="4" fontId="53" fillId="20" borderId="128" applyNumberFormat="0" applyProtection="0">
      <alignment horizontal="right" vertical="center"/>
    </xf>
    <xf numFmtId="4" fontId="53" fillId="28" borderId="128" applyNumberFormat="0" applyProtection="0">
      <alignment horizontal="right" vertical="center"/>
    </xf>
    <xf numFmtId="350" fontId="184" fillId="129" borderId="132"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142" fillId="14" borderId="128" applyNumberFormat="0" applyAlignment="0" applyProtection="0"/>
    <xf numFmtId="350" fontId="53" fillId="13" borderId="128" applyNumberFormat="0" applyFont="0" applyAlignment="0" applyProtection="0"/>
    <xf numFmtId="4" fontId="53" fillId="18" borderId="128" applyNumberFormat="0" applyProtection="0">
      <alignment vertical="center"/>
    </xf>
    <xf numFmtId="4" fontId="53" fillId="24" borderId="128" applyNumberFormat="0" applyProtection="0">
      <alignment horizontal="right" vertical="center"/>
    </xf>
    <xf numFmtId="4" fontId="53" fillId="30" borderId="134" applyNumberFormat="0" applyProtection="0">
      <alignment horizontal="left" vertical="center"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9" fillId="32" borderId="133" applyNumberFormat="0" applyProtection="0">
      <alignment horizontal="left" vertical="center" indent="1"/>
    </xf>
    <xf numFmtId="350" fontId="53" fillId="32" borderId="133" applyNumberFormat="0" applyProtection="0">
      <alignment horizontal="left" vertical="top" indent="1"/>
    </xf>
    <xf numFmtId="350" fontId="53" fillId="31" borderId="133" applyNumberFormat="0" applyProtection="0">
      <alignment horizontal="left" vertical="top" indent="1"/>
    </xf>
    <xf numFmtId="4" fontId="53" fillId="24" borderId="128" applyNumberFormat="0" applyProtection="0">
      <alignment horizontal="right" vertical="center"/>
    </xf>
    <xf numFmtId="4" fontId="53" fillId="18" borderId="128" applyNumberFormat="0" applyProtection="0">
      <alignment vertical="center"/>
    </xf>
    <xf numFmtId="4" fontId="53" fillId="64" borderId="128" applyNumberFormat="0" applyProtection="0">
      <alignment horizontal="left" vertical="center" indent="1"/>
    </xf>
    <xf numFmtId="4" fontId="53" fillId="45" borderId="128" applyNumberFormat="0" applyProtection="0">
      <alignment horizontal="left" vertical="center" indent="1"/>
    </xf>
    <xf numFmtId="4" fontId="53" fillId="26" borderId="128" applyNumberFormat="0" applyProtection="0">
      <alignment horizontal="right" vertical="center"/>
    </xf>
    <xf numFmtId="4" fontId="9" fillId="31" borderId="134" applyNumberFormat="0" applyProtection="0">
      <alignment horizontal="left" vertical="center" indent="1"/>
    </xf>
    <xf numFmtId="4" fontId="53" fillId="22" borderId="134" applyNumberFormat="0" applyProtection="0">
      <alignment horizontal="right" vertical="center"/>
    </xf>
    <xf numFmtId="4" fontId="53" fillId="30" borderId="134" applyNumberFormat="0" applyProtection="0">
      <alignment horizontal="left" vertical="center" indent="1"/>
    </xf>
    <xf numFmtId="350" fontId="9" fillId="31" borderId="133" applyNumberFormat="0" applyProtection="0">
      <alignment horizontal="left" vertical="center" indent="1"/>
    </xf>
    <xf numFmtId="350" fontId="53" fillId="32" borderId="133" applyNumberFormat="0" applyProtection="0">
      <alignment horizontal="left" vertical="top" indent="1"/>
    </xf>
    <xf numFmtId="4" fontId="9" fillId="31" borderId="134" applyNumberFormat="0" applyProtection="0">
      <alignment horizontal="left" vertical="center" indent="1"/>
    </xf>
    <xf numFmtId="350" fontId="184" fillId="129" borderId="132" applyNumberFormat="0" applyAlignment="0" applyProtection="0"/>
    <xf numFmtId="350" fontId="53" fillId="13" borderId="128" applyNumberFormat="0" applyFont="0" applyAlignment="0" applyProtection="0"/>
    <xf numFmtId="4" fontId="53" fillId="18" borderId="128" applyNumberFormat="0" applyProtection="0">
      <alignment vertical="center"/>
    </xf>
    <xf numFmtId="350" fontId="9" fillId="31" borderId="133" applyNumberFormat="0" applyProtection="0">
      <alignment horizontal="left" vertical="center" indent="1"/>
    </xf>
    <xf numFmtId="350" fontId="53" fillId="30" borderId="133" applyNumberFormat="0" applyProtection="0">
      <alignment horizontal="left" vertical="top" indent="1"/>
    </xf>
    <xf numFmtId="350" fontId="9" fillId="32"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350" fontId="53" fillId="61" borderId="128" applyNumberFormat="0" applyProtection="0">
      <alignment horizontal="left" vertical="center" indent="1"/>
    </xf>
    <xf numFmtId="4" fontId="53" fillId="26" borderId="128" applyNumberFormat="0" applyProtection="0">
      <alignment horizontal="right" vertical="center"/>
    </xf>
    <xf numFmtId="4" fontId="53" fillId="45" borderId="128" applyNumberFormat="0" applyProtection="0">
      <alignment horizontal="left" vertical="center" indent="1"/>
    </xf>
    <xf numFmtId="350" fontId="53" fillId="13" borderId="128" applyNumberFormat="0" applyFont="0" applyAlignment="0" applyProtection="0"/>
    <xf numFmtId="350" fontId="142" fillId="14" borderId="128" applyNumberForma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4" fontId="53" fillId="25" borderId="128" applyNumberFormat="0" applyProtection="0">
      <alignment horizontal="right" vertical="center"/>
    </xf>
    <xf numFmtId="350" fontId="271" fillId="18" borderId="133" applyNumberFormat="0" applyProtection="0">
      <alignment horizontal="left" vertical="top" indent="1"/>
    </xf>
    <xf numFmtId="4" fontId="53" fillId="19" borderId="128" applyNumberFormat="0" applyProtection="0">
      <alignment horizontal="right" vertical="center"/>
    </xf>
    <xf numFmtId="4" fontId="53" fillId="26" borderId="128" applyNumberFormat="0" applyProtection="0">
      <alignment horizontal="right" vertical="center"/>
    </xf>
    <xf numFmtId="4" fontId="53" fillId="24" borderId="128" applyNumberFormat="0" applyProtection="0">
      <alignment horizontal="right" vertical="center"/>
    </xf>
    <xf numFmtId="350" fontId="53" fillId="31" borderId="133" applyNumberFormat="0" applyProtection="0">
      <alignment horizontal="left" vertical="top" indent="1"/>
    </xf>
    <xf numFmtId="350" fontId="268" fillId="129" borderId="128" applyNumberFormat="0" applyAlignment="0" applyProtection="0"/>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4" fontId="270" fillId="50" borderId="128" applyNumberFormat="0" applyProtection="0">
      <alignment horizontal="right" vertical="center"/>
    </xf>
    <xf numFmtId="350" fontId="15" fillId="0" borderId="137" applyNumberFormat="0" applyFill="0" applyAlignment="0" applyProtection="0"/>
    <xf numFmtId="4" fontId="272" fillId="34" borderId="133" applyNumberFormat="0" applyProtection="0">
      <alignment vertical="center"/>
    </xf>
    <xf numFmtId="350" fontId="53" fillId="30" borderId="133" applyNumberFormat="0" applyProtection="0">
      <alignment horizontal="left" vertical="top" indent="1"/>
    </xf>
    <xf numFmtId="350" fontId="93" fillId="31" borderId="135" applyBorder="0"/>
    <xf numFmtId="4" fontId="53" fillId="0" borderId="128" applyNumberFormat="0" applyProtection="0">
      <alignment horizontal="right" vertical="center"/>
    </xf>
    <xf numFmtId="350" fontId="53" fillId="30" borderId="133" applyNumberFormat="0" applyProtection="0">
      <alignment horizontal="left" vertical="top" indent="1"/>
    </xf>
    <xf numFmtId="4" fontId="53" fillId="28" borderId="128" applyNumberFormat="0" applyProtection="0">
      <alignment horizontal="right" vertical="center"/>
    </xf>
    <xf numFmtId="350" fontId="53" fillId="61" borderId="128" applyNumberFormat="0" applyProtection="0">
      <alignment horizontal="left" vertical="center"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4" fontId="274" fillId="33" borderId="128" applyNumberFormat="0" applyProtection="0">
      <alignment horizontal="right" vertical="center"/>
    </xf>
    <xf numFmtId="350" fontId="142" fillId="14" borderId="128" applyNumberFormat="0" applyAlignment="0" applyProtection="0"/>
    <xf numFmtId="350" fontId="53" fillId="32" borderId="133" applyNumberFormat="0" applyProtection="0">
      <alignment horizontal="left" vertical="top" indent="1"/>
    </xf>
    <xf numFmtId="350" fontId="142" fillId="14" borderId="128" applyNumberFormat="0" applyAlignment="0" applyProtection="0"/>
    <xf numFmtId="350" fontId="53" fillId="83" borderId="128" applyNumberFormat="0" applyProtection="0">
      <alignment horizontal="left" vertical="center" indent="1"/>
    </xf>
    <xf numFmtId="350" fontId="53" fillId="31" borderId="133" applyNumberFormat="0" applyProtection="0">
      <alignment horizontal="left" vertical="top" indent="1"/>
    </xf>
    <xf numFmtId="4" fontId="53" fillId="30" borderId="134" applyNumberFormat="0" applyProtection="0">
      <alignment horizontal="left" vertical="center" indent="1"/>
    </xf>
    <xf numFmtId="4" fontId="53" fillId="26" borderId="128" applyNumberFormat="0" applyProtection="0">
      <alignment horizontal="right" vertical="center"/>
    </xf>
    <xf numFmtId="4" fontId="53" fillId="64" borderId="128" applyNumberFormat="0" applyProtection="0">
      <alignment horizontal="left" vertical="center" indent="1"/>
    </xf>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53" fillId="13" borderId="128" applyNumberFormat="0" applyFont="0" applyAlignment="0" applyProtection="0"/>
    <xf numFmtId="350" fontId="93" fillId="31" borderId="135" applyBorder="0"/>
    <xf numFmtId="4" fontId="53" fillId="22" borderId="134" applyNumberFormat="0" applyProtection="0">
      <alignment horizontal="right" vertical="center"/>
    </xf>
    <xf numFmtId="350" fontId="53" fillId="30" borderId="133" applyNumberFormat="0" applyProtection="0">
      <alignment horizontal="left" vertical="top" indent="1"/>
    </xf>
    <xf numFmtId="4" fontId="53" fillId="19" borderId="134" applyNumberFormat="0" applyProtection="0">
      <alignment horizontal="left" vertical="center" indent="1"/>
    </xf>
    <xf numFmtId="350" fontId="53" fillId="31" borderId="133" applyNumberFormat="0" applyProtection="0">
      <alignment horizontal="left" vertical="top" indent="1"/>
    </xf>
    <xf numFmtId="350" fontId="9" fillId="19" borderId="133" applyNumberFormat="0" applyProtection="0">
      <alignment horizontal="left" vertical="center" indent="1"/>
    </xf>
    <xf numFmtId="350" fontId="53" fillId="19" borderId="133" applyNumberFormat="0" applyProtection="0">
      <alignment horizontal="left" vertical="top" indent="1"/>
    </xf>
    <xf numFmtId="350" fontId="9" fillId="32"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4" fontId="273" fillId="35" borderId="134" applyNumberFormat="0" applyProtection="0">
      <alignment horizontal="left" vertical="center" indent="1"/>
    </xf>
    <xf numFmtId="4" fontId="270" fillId="50" borderId="128" applyNumberFormat="0" applyProtection="0">
      <alignment horizontal="right" vertical="center"/>
    </xf>
    <xf numFmtId="350" fontId="53" fillId="13" borderId="128" applyNumberFormat="0" applyFont="0" applyAlignment="0" applyProtection="0"/>
    <xf numFmtId="4" fontId="274" fillId="33" borderId="128" applyNumberFormat="0" applyProtection="0">
      <alignment horizontal="right" vertical="center"/>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4" fontId="53" fillId="30" borderId="134" applyNumberFormat="0" applyProtection="0">
      <alignment horizontal="left" vertical="center" indent="1"/>
    </xf>
    <xf numFmtId="4" fontId="53" fillId="132" borderId="128" applyNumberFormat="0" applyProtection="0">
      <alignment horizontal="right" vertical="center"/>
    </xf>
    <xf numFmtId="350" fontId="53" fillId="32" borderId="133" applyNumberFormat="0" applyProtection="0">
      <alignment horizontal="left" vertical="top" indent="1"/>
    </xf>
    <xf numFmtId="350" fontId="53" fillId="13" borderId="128" applyNumberFormat="0" applyFont="0" applyAlignment="0" applyProtection="0"/>
    <xf numFmtId="350" fontId="53" fillId="13" borderId="128" applyNumberFormat="0" applyFont="0" applyAlignment="0" applyProtection="0"/>
    <xf numFmtId="350" fontId="53" fillId="32" borderId="128" applyNumberFormat="0" applyProtection="0">
      <alignment horizontal="left" vertical="center"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4" fontId="270" fillId="50" borderId="128" applyNumberFormat="0" applyProtection="0">
      <alignment horizontal="right" vertical="center"/>
    </xf>
    <xf numFmtId="350" fontId="53" fillId="13" borderId="128" applyNumberFormat="0" applyFont="0" applyAlignment="0" applyProtection="0"/>
    <xf numFmtId="4" fontId="53" fillId="22" borderId="134" applyNumberFormat="0" applyProtection="0">
      <alignment horizontal="right" vertical="center"/>
    </xf>
    <xf numFmtId="4" fontId="53" fillId="24" borderId="128" applyNumberFormat="0" applyProtection="0">
      <alignment horizontal="right" vertical="center"/>
    </xf>
    <xf numFmtId="4" fontId="53" fillId="29" borderId="134" applyNumberFormat="0" applyProtection="0">
      <alignment horizontal="left" vertical="center" indent="1"/>
    </xf>
    <xf numFmtId="350" fontId="9" fillId="31" borderId="133" applyNumberFormat="0" applyProtection="0">
      <alignment horizontal="left" vertical="center" indent="1"/>
    </xf>
    <xf numFmtId="350" fontId="53" fillId="31" borderId="133" applyNumberFormat="0" applyProtection="0">
      <alignment horizontal="left" vertical="top" indent="1"/>
    </xf>
    <xf numFmtId="350" fontId="9" fillId="19"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0" borderId="128" applyNumberFormat="0" applyProtection="0">
      <alignment horizontal="left" vertical="center"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7" fontId="64" fillId="0" borderId="136" applyNumberFormat="0"/>
    <xf numFmtId="4" fontId="274" fillId="33" borderId="128" applyNumberFormat="0" applyProtection="0">
      <alignment horizontal="right" vertical="center"/>
    </xf>
    <xf numFmtId="350" fontId="53" fillId="19" borderId="133" applyNumberFormat="0" applyProtection="0">
      <alignment horizontal="left" vertical="top" indent="1"/>
    </xf>
    <xf numFmtId="350" fontId="272" fillId="19" borderId="133" applyNumberFormat="0" applyProtection="0">
      <alignment horizontal="left" vertical="top" indent="1"/>
    </xf>
    <xf numFmtId="350" fontId="53" fillId="30" borderId="133" applyNumberFormat="0" applyProtection="0">
      <alignment horizontal="left" vertical="top" indent="1"/>
    </xf>
    <xf numFmtId="350" fontId="9" fillId="32" borderId="133" applyNumberFormat="0" applyProtection="0">
      <alignment horizontal="left" vertical="center" indent="1"/>
    </xf>
    <xf numFmtId="350" fontId="9" fillId="19" borderId="133" applyNumberFormat="0" applyProtection="0">
      <alignment horizontal="left" vertical="center" indent="1"/>
    </xf>
    <xf numFmtId="350" fontId="53" fillId="31" borderId="133" applyNumberFormat="0" applyProtection="0">
      <alignment horizontal="left" vertical="top" indent="1"/>
    </xf>
    <xf numFmtId="4" fontId="9" fillId="31" borderId="134" applyNumberFormat="0" applyProtection="0">
      <alignment horizontal="left" vertical="center" indent="1"/>
    </xf>
    <xf numFmtId="4" fontId="53" fillId="64" borderId="128" applyNumberFormat="0" applyProtection="0">
      <alignment horizontal="left" vertical="center" indent="1"/>
    </xf>
    <xf numFmtId="350" fontId="53" fillId="31" borderId="133" applyNumberFormat="0" applyProtection="0">
      <alignment horizontal="left" vertical="top" indent="1"/>
    </xf>
    <xf numFmtId="350" fontId="53" fillId="13" borderId="128" applyNumberFormat="0" applyFont="0" applyAlignment="0" applyProtection="0"/>
    <xf numFmtId="4" fontId="270" fillId="50" borderId="128" applyNumberFormat="0" applyProtection="0">
      <alignment horizontal="right" vertical="center"/>
    </xf>
    <xf numFmtId="350" fontId="9" fillId="30" borderId="133" applyNumberFormat="0" applyProtection="0">
      <alignment horizontal="left" vertical="top" indent="1"/>
    </xf>
    <xf numFmtId="350" fontId="53" fillId="19" borderId="133" applyNumberFormat="0" applyProtection="0">
      <alignment horizontal="left" vertical="top" indent="1"/>
    </xf>
    <xf numFmtId="4" fontId="53" fillId="29" borderId="134" applyNumberFormat="0" applyProtection="0">
      <alignment horizontal="left" vertical="center" indent="1"/>
    </xf>
    <xf numFmtId="4" fontId="53" fillId="22" borderId="134" applyNumberFormat="0" applyProtection="0">
      <alignment horizontal="right" vertical="center"/>
    </xf>
    <xf numFmtId="4" fontId="272" fillId="61" borderId="133" applyNumberFormat="0" applyProtection="0">
      <alignment horizontal="left" vertical="center" indent="1"/>
    </xf>
    <xf numFmtId="350" fontId="15" fillId="0" borderId="137" applyNumberFormat="0" applyFill="0" applyAlignment="0" applyProtection="0"/>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0" borderId="133" applyNumberFormat="0" applyProtection="0">
      <alignment horizontal="left" vertical="top" indent="1"/>
    </xf>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268" fillId="129" borderId="128" applyNumberFormat="0" applyAlignment="0" applyProtection="0"/>
    <xf numFmtId="350" fontId="53" fillId="13" borderId="128" applyNumberFormat="0" applyFont="0" applyAlignment="0" applyProtection="0"/>
    <xf numFmtId="4" fontId="270" fillId="45" borderId="128" applyNumberFormat="0" applyProtection="0">
      <alignment vertical="center"/>
    </xf>
    <xf numFmtId="4" fontId="53" fillId="27" borderId="128" applyNumberFormat="0" applyProtection="0">
      <alignment horizontal="right" vertical="center"/>
    </xf>
    <xf numFmtId="350" fontId="53" fillId="31" borderId="133" applyNumberFormat="0" applyProtection="0">
      <alignment horizontal="left" vertical="top" indent="1"/>
    </xf>
    <xf numFmtId="350" fontId="53" fillId="31" borderId="133" applyNumberFormat="0" applyProtection="0">
      <alignment horizontal="left" vertical="top"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272" fillId="34" borderId="133" applyNumberFormat="0" applyProtection="0">
      <alignment horizontal="left" vertical="top" indent="1"/>
    </xf>
    <xf numFmtId="350" fontId="15" fillId="0" borderId="137" applyNumberFormat="0" applyFill="0" applyAlignment="0" applyProtection="0"/>
    <xf numFmtId="350" fontId="53" fillId="30" borderId="133" applyNumberFormat="0" applyProtection="0">
      <alignment horizontal="left" vertical="top" indent="1"/>
    </xf>
    <xf numFmtId="350" fontId="53" fillId="32" borderId="128" applyNumberFormat="0" applyProtection="0">
      <alignment horizontal="left" vertical="center"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350" fontId="9" fillId="31" borderId="133" applyNumberFormat="0" applyProtection="0">
      <alignment horizontal="left" vertical="top" indent="1"/>
    </xf>
    <xf numFmtId="4" fontId="9" fillId="31" borderId="134" applyNumberFormat="0" applyProtection="0">
      <alignment horizontal="left" vertical="center" indent="1"/>
    </xf>
    <xf numFmtId="4" fontId="53" fillId="26" borderId="128" applyNumberFormat="0" applyProtection="0">
      <alignment horizontal="right" vertical="center"/>
    </xf>
    <xf numFmtId="350" fontId="53" fillId="13" borderId="128" applyNumberFormat="0" applyFont="0" applyAlignment="0" applyProtection="0"/>
    <xf numFmtId="4" fontId="53" fillId="18" borderId="128" applyNumberFormat="0" applyProtection="0">
      <alignment vertical="center"/>
    </xf>
    <xf numFmtId="4" fontId="53" fillId="29" borderId="134" applyNumberFormat="0" applyProtection="0">
      <alignment horizontal="left" vertical="center" indent="1"/>
    </xf>
    <xf numFmtId="350" fontId="9" fillId="31" borderId="133" applyNumberFormat="0" applyProtection="0">
      <alignment horizontal="left" vertical="center" indent="1"/>
    </xf>
    <xf numFmtId="350" fontId="9" fillId="19" borderId="133" applyNumberFormat="0" applyProtection="0">
      <alignment horizontal="left" vertical="top" indent="1"/>
    </xf>
    <xf numFmtId="350" fontId="53" fillId="13" borderId="128" applyNumberFormat="0" applyFont="0" applyAlignment="0" applyProtection="0"/>
    <xf numFmtId="210" fontId="64" fillId="0" borderId="28" applyFill="0"/>
    <xf numFmtId="350" fontId="53" fillId="30" borderId="133" applyNumberFormat="0" applyProtection="0">
      <alignment horizontal="left" vertical="top"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350" fontId="53" fillId="31" borderId="133" applyNumberFormat="0" applyProtection="0">
      <alignment horizontal="left" vertical="top" indent="1"/>
    </xf>
    <xf numFmtId="4" fontId="53" fillId="19" borderId="128" applyNumberFormat="0" applyProtection="0">
      <alignment horizontal="right" vertical="center"/>
    </xf>
    <xf numFmtId="4" fontId="53" fillId="45" borderId="128" applyNumberFormat="0" applyProtection="0">
      <alignment horizontal="left" vertical="center" indent="1"/>
    </xf>
    <xf numFmtId="4" fontId="270" fillId="50" borderId="128" applyNumberFormat="0" applyProtection="0">
      <alignment horizontal="right" vertical="center"/>
    </xf>
    <xf numFmtId="350" fontId="53" fillId="30" borderId="133" applyNumberFormat="0" applyProtection="0">
      <alignment horizontal="left" vertical="top" indent="1"/>
    </xf>
    <xf numFmtId="350" fontId="272" fillId="19" borderId="133" applyNumberFormat="0" applyProtection="0">
      <alignment horizontal="left" vertical="top" indent="1"/>
    </xf>
    <xf numFmtId="4" fontId="274" fillId="33" borderId="128" applyNumberFormat="0" applyProtection="0">
      <alignment horizontal="right" vertical="center"/>
    </xf>
    <xf numFmtId="4" fontId="272" fillId="61" borderId="133" applyNumberFormat="0" applyProtection="0">
      <alignment horizontal="left" vertical="center" indent="1"/>
    </xf>
    <xf numFmtId="350" fontId="9" fillId="30" borderId="133" applyNumberFormat="0" applyProtection="0">
      <alignment horizontal="left" vertical="center" indent="1"/>
    </xf>
    <xf numFmtId="350" fontId="53" fillId="32" borderId="133" applyNumberFormat="0" applyProtection="0">
      <alignment horizontal="left" vertical="top" indent="1"/>
    </xf>
    <xf numFmtId="350" fontId="53" fillId="19" borderId="133" applyNumberFormat="0" applyProtection="0">
      <alignment horizontal="left" vertical="top" indent="1"/>
    </xf>
    <xf numFmtId="350" fontId="53" fillId="19" borderId="133" applyNumberFormat="0" applyProtection="0">
      <alignment horizontal="left" vertical="top" indent="1"/>
    </xf>
    <xf numFmtId="350" fontId="53" fillId="31" borderId="133" applyNumberFormat="0" applyProtection="0">
      <alignment horizontal="left" vertical="top" indent="1"/>
    </xf>
    <xf numFmtId="350" fontId="9" fillId="30" borderId="133" applyNumberFormat="0" applyProtection="0">
      <alignment horizontal="left" vertical="top" indent="1"/>
    </xf>
    <xf numFmtId="4" fontId="9" fillId="31" borderId="134" applyNumberFormat="0" applyProtection="0">
      <alignment horizontal="left" vertical="center" indent="1"/>
    </xf>
    <xf numFmtId="350" fontId="9" fillId="31" borderId="133" applyNumberFormat="0" applyProtection="0">
      <alignment horizontal="left" vertical="top" indent="1"/>
    </xf>
    <xf numFmtId="4" fontId="53" fillId="22" borderId="134" applyNumberFormat="0" applyProtection="0">
      <alignment horizontal="right" vertical="center"/>
    </xf>
    <xf numFmtId="350" fontId="53" fillId="61" borderId="128" applyNumberFormat="0" applyProtection="0">
      <alignment horizontal="left" vertical="center" indent="1"/>
    </xf>
    <xf numFmtId="4" fontId="53" fillId="45" borderId="128" applyNumberFormat="0" applyProtection="0">
      <alignment horizontal="left" vertical="center" indent="1"/>
    </xf>
    <xf numFmtId="350" fontId="53" fillId="13" borderId="128" applyNumberFormat="0" applyFont="0" applyAlignment="0" applyProtection="0"/>
    <xf numFmtId="350" fontId="53" fillId="13" borderId="128" applyNumberFormat="0" applyFont="0" applyAlignment="0" applyProtection="0"/>
    <xf numFmtId="350" fontId="268" fillId="129" borderId="128" applyNumberFormat="0" applyAlignment="0" applyProtection="0"/>
    <xf numFmtId="350" fontId="53" fillId="13" borderId="128" applyNumberFormat="0" applyFont="0" applyAlignment="0" applyProtection="0"/>
    <xf numFmtId="4" fontId="53" fillId="20" borderId="128" applyNumberFormat="0" applyProtection="0">
      <alignment horizontal="right" vertical="center"/>
    </xf>
    <xf numFmtId="4" fontId="53" fillId="29" borderId="134" applyNumberFormat="0" applyProtection="0">
      <alignment horizontal="left" vertical="center" indent="1"/>
    </xf>
    <xf numFmtId="350" fontId="9" fillId="31" borderId="133" applyNumberFormat="0" applyProtection="0">
      <alignment horizontal="left" vertical="top" indent="1"/>
    </xf>
    <xf numFmtId="350" fontId="53" fillId="83" borderId="128" applyNumberFormat="0" applyProtection="0">
      <alignment horizontal="left" vertical="center" indent="1"/>
    </xf>
    <xf numFmtId="350" fontId="53" fillId="19" borderId="133" applyNumberFormat="0" applyProtection="0">
      <alignment horizontal="left" vertical="top" indent="1"/>
    </xf>
    <xf numFmtId="350" fontId="53" fillId="32" borderId="133" applyNumberFormat="0" applyProtection="0">
      <alignment horizontal="left" vertical="top" indent="1"/>
    </xf>
    <xf numFmtId="350" fontId="53" fillId="31" borderId="133" applyNumberFormat="0" applyProtection="0">
      <alignment horizontal="left" vertical="top" indent="1"/>
    </xf>
    <xf numFmtId="4" fontId="53" fillId="28" borderId="128" applyNumberFormat="0" applyProtection="0">
      <alignment horizontal="right" vertical="center"/>
    </xf>
    <xf numFmtId="4" fontId="53" fillId="27" borderId="128" applyNumberFormat="0" applyProtection="0">
      <alignment horizontal="right" vertical="center"/>
    </xf>
    <xf numFmtId="350" fontId="53" fillId="31" borderId="133" applyNumberFormat="0" applyProtection="0">
      <alignment horizontal="left" vertical="top" indent="1"/>
    </xf>
    <xf numFmtId="350" fontId="53" fillId="32" borderId="133" applyNumberFormat="0" applyProtection="0">
      <alignment horizontal="left" vertical="top" indent="1"/>
    </xf>
    <xf numFmtId="350" fontId="268" fillId="129" borderId="128" applyNumberFormat="0" applyAlignment="0" applyProtection="0"/>
    <xf numFmtId="350" fontId="53" fillId="19" borderId="133" applyNumberFormat="0" applyProtection="0">
      <alignment horizontal="left" vertical="top" indent="1"/>
    </xf>
    <xf numFmtId="350" fontId="53" fillId="30" borderId="133" applyNumberFormat="0" applyProtection="0">
      <alignment horizontal="left" vertical="top" indent="1"/>
    </xf>
    <xf numFmtId="4" fontId="53" fillId="64" borderId="128" applyNumberFormat="0" applyProtection="0">
      <alignment horizontal="left" vertical="center" indent="1"/>
    </xf>
    <xf numFmtId="4" fontId="53" fillId="0" borderId="128" applyNumberFormat="0" applyProtection="0">
      <alignment horizontal="right" vertical="center"/>
    </xf>
    <xf numFmtId="350" fontId="53" fillId="13" borderId="128" applyNumberFormat="0" applyFont="0" applyAlignment="0" applyProtection="0"/>
    <xf numFmtId="350" fontId="142" fillId="14" borderId="128" applyNumberFormat="0" applyAlignment="0" applyProtection="0"/>
    <xf numFmtId="350" fontId="271" fillId="18" borderId="133" applyNumberFormat="0" applyProtection="0">
      <alignment horizontal="left" vertical="top" indent="1"/>
    </xf>
    <xf numFmtId="350" fontId="53" fillId="13" borderId="128" applyNumberFormat="0" applyFont="0" applyAlignment="0" applyProtection="0"/>
    <xf numFmtId="350" fontId="53" fillId="30" borderId="128" applyNumberFormat="0" applyProtection="0">
      <alignment horizontal="left" vertical="center" indent="1"/>
    </xf>
    <xf numFmtId="164" fontId="12" fillId="0" borderId="0" applyFont="0" applyFill="0" applyBorder="0" applyAlignment="0" applyProtection="0"/>
    <xf numFmtId="164" fontId="12" fillId="0" borderId="0" applyFont="0" applyFill="0" applyBorder="0" applyAlignment="0" applyProtection="0"/>
    <xf numFmtId="350" fontId="268" fillId="129" borderId="128" applyNumberFormat="0" applyAlignment="0" applyProtection="0"/>
    <xf numFmtId="4" fontId="270" fillId="50" borderId="128" applyNumberFormat="0" applyProtection="0">
      <alignment horizontal="right" vertical="center"/>
    </xf>
    <xf numFmtId="350" fontId="142" fillId="14" borderId="128" applyNumberFormat="0" applyAlignment="0" applyProtection="0"/>
    <xf numFmtId="164" fontId="12" fillId="0" borderId="0" applyFont="0" applyFill="0" applyBorder="0" applyAlignment="0" applyProtection="0"/>
    <xf numFmtId="350" fontId="268" fillId="129" borderId="128" applyNumberFormat="0" applyAlignment="0" applyProtection="0"/>
    <xf numFmtId="4" fontId="53" fillId="45" borderId="128" applyNumberFormat="0" applyProtection="0">
      <alignment horizontal="left" vertical="center" indent="1"/>
    </xf>
    <xf numFmtId="350" fontId="142" fillId="14" borderId="128" applyNumberFormat="0" applyAlignment="0" applyProtection="0"/>
    <xf numFmtId="4" fontId="53" fillId="64" borderId="128" applyNumberFormat="0" applyProtection="0">
      <alignment horizontal="left" vertical="center" indent="1"/>
    </xf>
    <xf numFmtId="4" fontId="53" fillId="26" borderId="128" applyNumberFormat="0" applyProtection="0">
      <alignment horizontal="right" vertical="center"/>
    </xf>
    <xf numFmtId="164" fontId="12" fillId="0" borderId="0" applyFont="0" applyFill="0" applyBorder="0" applyAlignment="0" applyProtection="0"/>
    <xf numFmtId="4" fontId="274" fillId="33" borderId="128" applyNumberFormat="0" applyProtection="0">
      <alignment horizontal="right" vertical="center"/>
    </xf>
    <xf numFmtId="4" fontId="53" fillId="23" borderId="128"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1493">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68" fontId="10" fillId="3" borderId="0" xfId="0" applyNumberFormat="1" applyFont="1" applyFill="1" applyAlignment="1">
      <alignment vertical="center"/>
    </xf>
    <xf numFmtId="1" fontId="8" fillId="0" borderId="0" xfId="0" applyNumberFormat="1" applyFont="1" applyAlignment="1">
      <alignment horizontal="center"/>
    </xf>
    <xf numFmtId="0" fontId="0" fillId="0" borderId="0" xfId="0" applyAlignment="1">
      <alignment vertical="center"/>
    </xf>
    <xf numFmtId="173" fontId="8" fillId="0" borderId="0" xfId="0" applyNumberFormat="1" applyFont="1" applyAlignment="1">
      <alignment horizontal="center"/>
    </xf>
    <xf numFmtId="173" fontId="0" fillId="0" borderId="0" xfId="0" applyNumberFormat="1" applyAlignment="1">
      <alignment horizontal="right" vertical="top"/>
    </xf>
    <xf numFmtId="173"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3" fontId="8" fillId="0" borderId="0" xfId="0" applyNumberFormat="1" applyFont="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2" fontId="10" fillId="38" borderId="65" xfId="1" applyNumberFormat="1" applyFont="1" applyFill="1" applyBorder="1" applyProtection="1"/>
    <xf numFmtId="172" fontId="10" fillId="38" borderId="66" xfId="1" applyNumberFormat="1" applyFont="1" applyFill="1" applyBorder="1" applyProtection="1"/>
    <xf numFmtId="172" fontId="10" fillId="38" borderId="67" xfId="1" applyNumberFormat="1" applyFont="1" applyFill="1" applyBorder="1" applyProtection="1"/>
    <xf numFmtId="172" fontId="10" fillId="38" borderId="59" xfId="1" applyNumberFormat="1" applyFont="1" applyFill="1" applyBorder="1" applyProtection="1"/>
    <xf numFmtId="172" fontId="10" fillId="38" borderId="60" xfId="1" applyNumberFormat="1" applyFont="1" applyFill="1" applyBorder="1" applyProtection="1"/>
    <xf numFmtId="172"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2" fontId="10" fillId="38" borderId="71" xfId="1" applyNumberFormat="1" applyFont="1" applyFill="1" applyBorder="1" applyProtection="1"/>
    <xf numFmtId="172" fontId="10" fillId="38" borderId="72" xfId="1" applyNumberFormat="1" applyFont="1" applyFill="1" applyBorder="1" applyProtection="1"/>
    <xf numFmtId="172" fontId="10" fillId="38" borderId="73" xfId="1" applyNumberFormat="1" applyFont="1" applyFill="1" applyBorder="1" applyProtection="1"/>
    <xf numFmtId="165" fontId="10" fillId="52" borderId="68" xfId="2" applyNumberFormat="1" applyFont="1" applyFill="1" applyBorder="1" applyAlignment="1">
      <alignment vertical="center"/>
    </xf>
    <xf numFmtId="165" fontId="10" fillId="52" borderId="70" xfId="2" applyNumberFormat="1" applyFont="1" applyFill="1" applyBorder="1" applyAlignment="1">
      <alignment vertical="center"/>
    </xf>
    <xf numFmtId="165" fontId="10" fillId="52" borderId="59" xfId="2" applyNumberFormat="1" applyFont="1" applyFill="1" applyBorder="1" applyAlignment="1">
      <alignment vertical="center"/>
    </xf>
    <xf numFmtId="165"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78" fontId="0" fillId="51" borderId="71" xfId="0" applyNumberFormat="1" applyFill="1" applyBorder="1" applyAlignment="1">
      <alignment horizontal="right" vertical="top"/>
    </xf>
    <xf numFmtId="173"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2" fontId="11" fillId="38" borderId="71" xfId="1" applyNumberFormat="1" applyFont="1" applyFill="1" applyBorder="1" applyProtection="1"/>
    <xf numFmtId="172"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0" fontId="0" fillId="0" borderId="0" xfId="0" applyNumberFormat="1"/>
    <xf numFmtId="170" fontId="8" fillId="0" borderId="0" xfId="0" applyNumberFormat="1" applyFont="1"/>
    <xf numFmtId="170" fontId="10" fillId="38" borderId="64" xfId="77" applyNumberFormat="1" applyFont="1" applyFill="1" applyBorder="1" applyProtection="1"/>
    <xf numFmtId="172" fontId="10" fillId="39" borderId="59" xfId="1" applyNumberFormat="1" applyFont="1" applyFill="1" applyBorder="1" applyProtection="1"/>
    <xf numFmtId="172" fontId="10" fillId="39" borderId="60" xfId="1" applyNumberFormat="1" applyFont="1" applyFill="1" applyBorder="1" applyProtection="1"/>
    <xf numFmtId="170"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3" fontId="0" fillId="0" borderId="0" xfId="0" applyNumberFormat="1"/>
    <xf numFmtId="14" fontId="0" fillId="0" borderId="0" xfId="0" applyNumberFormat="1"/>
    <xf numFmtId="0" fontId="0" fillId="53" borderId="0" xfId="0" applyFill="1"/>
    <xf numFmtId="252"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0" fontId="0" fillId="52" borderId="71" xfId="0" applyNumberFormat="1" applyFill="1" applyBorder="1"/>
    <xf numFmtId="170" fontId="0" fillId="52" borderId="72" xfId="0" applyNumberFormat="1" applyFill="1" applyBorder="1"/>
    <xf numFmtId="0" fontId="8" fillId="0" borderId="0" xfId="0" applyFont="1" applyAlignment="1" applyProtection="1">
      <alignment horizontal="center" vertical="center"/>
      <protection locked="0"/>
    </xf>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72" fontId="10" fillId="39" borderId="86" xfId="1" applyNumberFormat="1" applyFont="1" applyFill="1" applyBorder="1" applyProtection="1"/>
    <xf numFmtId="172" fontId="10" fillId="39" borderId="82" xfId="1" applyNumberFormat="1" applyFont="1" applyFill="1" applyBorder="1" applyProtection="1"/>
    <xf numFmtId="172" fontId="10" fillId="39" borderId="83" xfId="1" applyNumberFormat="1" applyFont="1" applyFill="1" applyBorder="1" applyProtection="1"/>
    <xf numFmtId="172" fontId="10" fillId="39" borderId="87" xfId="1" applyNumberFormat="1" applyFont="1" applyFill="1" applyBorder="1" applyProtection="1"/>
    <xf numFmtId="172" fontId="10" fillId="39" borderId="88" xfId="1" applyNumberFormat="1" applyFont="1" applyFill="1" applyBorder="1" applyProtection="1"/>
    <xf numFmtId="0" fontId="32" fillId="47" borderId="91"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0" fontId="250" fillId="42" borderId="0" xfId="79" applyFont="1" applyFill="1" applyAlignment="1">
      <alignment horizontal="left"/>
    </xf>
    <xf numFmtId="0" fontId="250" fillId="42" borderId="0" xfId="79" applyFont="1" applyFill="1" applyAlignment="1" applyProtection="1">
      <alignment horizontal="left"/>
      <protection locked="0"/>
    </xf>
    <xf numFmtId="0" fontId="251" fillId="42" borderId="0" xfId="78" applyFont="1" applyFill="1" applyProtection="1">
      <protection locked="0"/>
    </xf>
    <xf numFmtId="0" fontId="252" fillId="42" borderId="0" xfId="78" applyFont="1" applyFill="1" applyProtection="1">
      <protection locked="0"/>
    </xf>
    <xf numFmtId="0" fontId="250" fillId="42" borderId="0" xfId="78" applyFont="1" applyFill="1" applyAlignment="1" applyProtection="1">
      <alignment horizontal="left"/>
      <protection locked="0"/>
    </xf>
    <xf numFmtId="0" fontId="251" fillId="0" borderId="0" xfId="78" applyFont="1" applyProtection="1">
      <protection locked="0"/>
    </xf>
    <xf numFmtId="168" fontId="37" fillId="0" borderId="0" xfId="0" applyNumberFormat="1" applyFont="1" applyAlignment="1">
      <alignment vertical="center"/>
    </xf>
    <xf numFmtId="168" fontId="37" fillId="48" borderId="0" xfId="94">
      <alignment vertical="center"/>
    </xf>
    <xf numFmtId="168" fontId="37" fillId="42" borderId="0" xfId="94" applyFill="1">
      <alignment vertical="center"/>
    </xf>
    <xf numFmtId="168" fontId="37" fillId="42" borderId="0" xfId="0" applyNumberFormat="1" applyFont="1" applyFill="1" applyAlignment="1">
      <alignment vertical="center"/>
    </xf>
    <xf numFmtId="0" fontId="254" fillId="0" borderId="0" xfId="85" applyFont="1"/>
    <xf numFmtId="0" fontId="11" fillId="0" borderId="0" xfId="85" applyFont="1"/>
    <xf numFmtId="0" fontId="10" fillId="0" borderId="0" xfId="85" applyFont="1"/>
    <xf numFmtId="0" fontId="10" fillId="0" borderId="0" xfId="48234" applyFont="1" applyAlignment="1">
      <alignment horizontal="center" vertical="center"/>
    </xf>
    <xf numFmtId="0" fontId="11" fillId="0" borderId="0" xfId="85" applyFont="1" applyAlignment="1">
      <alignment horizontal="center"/>
    </xf>
    <xf numFmtId="0" fontId="255" fillId="0" borderId="0" xfId="85" applyFont="1"/>
    <xf numFmtId="0" fontId="256" fillId="0" borderId="0" xfId="85" applyFont="1" applyProtection="1">
      <protection locked="0"/>
    </xf>
    <xf numFmtId="0" fontId="257" fillId="0" borderId="0" xfId="84" applyFont="1" applyAlignment="1">
      <alignment horizontal="center"/>
    </xf>
    <xf numFmtId="0" fontId="10" fillId="0" borderId="0" xfId="48237"/>
    <xf numFmtId="0" fontId="259" fillId="0" borderId="0" xfId="48237" applyFont="1"/>
    <xf numFmtId="171" fontId="10" fillId="0" borderId="0" xfId="48237" applyNumberFormat="1"/>
    <xf numFmtId="0" fontId="11" fillId="0" borderId="0" xfId="85" applyFont="1" applyAlignment="1">
      <alignment vertical="center"/>
    </xf>
    <xf numFmtId="0" fontId="10" fillId="0" borderId="0" xfId="85" applyFont="1" applyAlignment="1">
      <alignment horizontal="left"/>
    </xf>
    <xf numFmtId="0" fontId="7" fillId="0" borderId="0" xfId="0" applyFont="1"/>
    <xf numFmtId="168" fontId="38" fillId="49" borderId="0" xfId="96" applyAlignment="1">
      <alignment vertical="center"/>
    </xf>
    <xf numFmtId="168" fontId="38" fillId="42" borderId="0" xfId="96" applyFill="1" applyAlignment="1">
      <alignment vertical="center"/>
    </xf>
    <xf numFmtId="168" fontId="36" fillId="42" borderId="0" xfId="0" applyNumberFormat="1" applyFont="1" applyFill="1" applyAlignment="1">
      <alignment vertical="center"/>
    </xf>
    <xf numFmtId="0" fontId="10" fillId="0" borderId="0" xfId="85" applyFont="1" applyAlignment="1">
      <alignment horizontal="center"/>
    </xf>
    <xf numFmtId="168" fontId="10" fillId="3" borderId="0" xfId="0" applyNumberFormat="1" applyFont="1" applyFill="1" applyAlignment="1">
      <alignment vertical="center" wrapText="1"/>
    </xf>
    <xf numFmtId="168" fontId="10" fillId="0" borderId="0" xfId="0" applyNumberFormat="1" applyFont="1" applyAlignment="1">
      <alignment horizontal="left" vertical="center" wrapText="1"/>
    </xf>
    <xf numFmtId="0" fontId="10" fillId="0" borderId="0" xfId="85" applyFont="1" applyAlignment="1">
      <alignment horizontal="left" indent="1"/>
    </xf>
    <xf numFmtId="164" fontId="10" fillId="0" borderId="0" xfId="95" applyFont="1" applyBorder="1" applyProtection="1"/>
    <xf numFmtId="0" fontId="262" fillId="0" borderId="0" xfId="85" applyFont="1"/>
    <xf numFmtId="0" fontId="10" fillId="0" borderId="0" xfId="85" applyFont="1" applyAlignment="1" applyProtection="1">
      <alignment horizontal="center"/>
      <protection locked="0"/>
    </xf>
    <xf numFmtId="0" fontId="11" fillId="0" borderId="0" xfId="85" applyFont="1" applyAlignment="1">
      <alignment horizontal="right"/>
    </xf>
    <xf numFmtId="0" fontId="259" fillId="0" borderId="0" xfId="85" applyFont="1"/>
    <xf numFmtId="172" fontId="0" fillId="51" borderId="62" xfId="1" applyNumberFormat="1" applyFont="1" applyFill="1" applyBorder="1" applyAlignment="1">
      <alignment horizontal="right"/>
    </xf>
    <xf numFmtId="172" fontId="0" fillId="51" borderId="71" xfId="1" applyNumberFormat="1" applyFont="1" applyFill="1" applyBorder="1" applyAlignment="1">
      <alignment horizontal="right" vertical="top"/>
    </xf>
    <xf numFmtId="172" fontId="10" fillId="38" borderId="105" xfId="1" applyNumberFormat="1" applyFont="1" applyFill="1" applyBorder="1" applyProtection="1"/>
    <xf numFmtId="14" fontId="10" fillId="42" borderId="0" xfId="2" applyNumberFormat="1" applyFont="1" applyFill="1" applyBorder="1" applyAlignment="1">
      <alignment horizontal="center" vertical="center"/>
    </xf>
    <xf numFmtId="0" fontId="0" fillId="0" borderId="21" xfId="0" applyBorder="1"/>
    <xf numFmtId="0" fontId="0" fillId="0" borderId="89" xfId="0" applyBorder="1"/>
    <xf numFmtId="0" fontId="248" fillId="116" borderId="0" xfId="0" applyFont="1" applyFill="1" applyAlignment="1">
      <alignment horizontal="left" vertical="top"/>
    </xf>
    <xf numFmtId="0" fontId="248" fillId="116" borderId="0" xfId="0" applyFont="1" applyFill="1" applyAlignment="1">
      <alignment horizontal="left" vertical="top" indent="1"/>
    </xf>
    <xf numFmtId="168"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2" fontId="0" fillId="51" borderId="63"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2" xfId="1" applyNumberFormat="1" applyFont="1" applyFill="1" applyBorder="1" applyAlignment="1">
      <alignment horizontal="right" vertical="top"/>
    </xf>
    <xf numFmtId="0" fontId="10" fillId="0" borderId="59" xfId="85" quotePrefix="1" applyFont="1" applyBorder="1" applyAlignment="1">
      <alignment horizontal="center"/>
    </xf>
    <xf numFmtId="0" fontId="10" fillId="0" borderId="60" xfId="85" quotePrefix="1" applyFont="1" applyBorder="1" applyAlignment="1">
      <alignment horizontal="center"/>
    </xf>
    <xf numFmtId="0" fontId="10" fillId="0" borderId="59" xfId="85" applyFont="1" applyBorder="1" applyAlignment="1">
      <alignment horizontal="center" wrapText="1"/>
    </xf>
    <xf numFmtId="0" fontId="10" fillId="0" borderId="60" xfId="85" applyFont="1" applyBorder="1" applyAlignment="1">
      <alignment horizontal="center" wrapText="1"/>
    </xf>
    <xf numFmtId="0" fontId="10" fillId="0" borderId="62" xfId="85" quotePrefix="1" applyFont="1" applyBorder="1" applyAlignment="1">
      <alignment horizontal="center"/>
    </xf>
    <xf numFmtId="0" fontId="10" fillId="0" borderId="63" xfId="85" quotePrefix="1" applyFont="1" applyBorder="1" applyAlignment="1">
      <alignment horizontal="center"/>
    </xf>
    <xf numFmtId="0" fontId="10" fillId="0" borderId="59" xfId="85" applyFont="1" applyBorder="1" applyAlignment="1">
      <alignment horizontal="center"/>
    </xf>
    <xf numFmtId="0" fontId="10" fillId="0" borderId="60" xfId="85" applyFont="1" applyBorder="1" applyAlignment="1">
      <alignment horizontal="center"/>
    </xf>
    <xf numFmtId="9" fontId="7" fillId="43" borderId="65" xfId="77" applyFill="1" applyBorder="1" applyAlignment="1" applyProtection="1">
      <alignment vertical="center"/>
    </xf>
    <xf numFmtId="9" fontId="7" fillId="43" borderId="66" xfId="77" applyFill="1" applyBorder="1" applyAlignment="1" applyProtection="1">
      <alignment vertical="center"/>
    </xf>
    <xf numFmtId="0" fontId="10" fillId="0" borderId="111" xfId="85" applyFont="1" applyBorder="1"/>
    <xf numFmtId="0" fontId="10" fillId="0" borderId="112" xfId="85" applyFont="1" applyBorder="1"/>
    <xf numFmtId="0" fontId="10" fillId="0" borderId="113" xfId="85" applyFont="1" applyBorder="1" applyAlignment="1">
      <alignment horizontal="center"/>
    </xf>
    <xf numFmtId="175" fontId="10" fillId="44" borderId="60" xfId="85" applyNumberFormat="1" applyFont="1" applyFill="1" applyBorder="1" applyAlignment="1">
      <alignment horizontal="center"/>
    </xf>
    <xf numFmtId="0" fontId="10" fillId="44" borderId="60" xfId="85" applyFont="1" applyFill="1" applyBorder="1"/>
    <xf numFmtId="0" fontId="10" fillId="44" borderId="60" xfId="85" applyFont="1" applyFill="1" applyBorder="1" applyAlignment="1">
      <alignment horizontal="left" indent="1"/>
    </xf>
    <xf numFmtId="175" fontId="10" fillId="44" borderId="63" xfId="85" applyNumberFormat="1" applyFont="1" applyFill="1" applyBorder="1" applyAlignment="1">
      <alignment horizontal="center"/>
    </xf>
    <xf numFmtId="175" fontId="10" fillId="44" borderId="66" xfId="85" applyNumberFormat="1" applyFont="1" applyFill="1" applyBorder="1" applyAlignment="1">
      <alignment horizontal="center"/>
    </xf>
    <xf numFmtId="175" fontId="10" fillId="44" borderId="60" xfId="85" applyNumberFormat="1" applyFont="1" applyFill="1" applyBorder="1"/>
    <xf numFmtId="175" fontId="10" fillId="44" borderId="60" xfId="85" applyNumberFormat="1" applyFont="1" applyFill="1" applyBorder="1" applyAlignment="1">
      <alignment horizontal="left" indent="1"/>
    </xf>
    <xf numFmtId="175" fontId="10" fillId="44" borderId="63" xfId="85" applyNumberFormat="1" applyFont="1" applyFill="1" applyBorder="1"/>
    <xf numFmtId="175" fontId="10" fillId="44" borderId="63" xfId="85" applyNumberFormat="1" applyFont="1" applyFill="1" applyBorder="1" applyAlignment="1">
      <alignment horizontal="left" indent="1"/>
    </xf>
    <xf numFmtId="175" fontId="10" fillId="44" borderId="66" xfId="85" applyNumberFormat="1" applyFont="1" applyFill="1" applyBorder="1"/>
    <xf numFmtId="175" fontId="10" fillId="44" borderId="66" xfId="85" applyNumberFormat="1" applyFont="1" applyFill="1" applyBorder="1" applyAlignment="1">
      <alignment horizontal="left" indent="1"/>
    </xf>
    <xf numFmtId="0" fontId="10" fillId="0" borderId="112" xfId="48237" applyBorder="1" applyAlignment="1">
      <alignment horizontal="left"/>
    </xf>
    <xf numFmtId="0" fontId="10" fillId="0" borderId="112" xfId="48237" applyBorder="1"/>
    <xf numFmtId="0" fontId="11" fillId="0" borderId="112" xfId="48237" applyFont="1" applyBorder="1" applyAlignment="1">
      <alignment horizontal="left"/>
    </xf>
    <xf numFmtId="0" fontId="10" fillId="0" borderId="112" xfId="84" applyFont="1" applyBorder="1" applyAlignment="1">
      <alignment wrapText="1"/>
    </xf>
    <xf numFmtId="0" fontId="10" fillId="0" borderId="112" xfId="84" applyFont="1" applyBorder="1" applyAlignment="1">
      <alignment horizontal="left" wrapText="1"/>
    </xf>
    <xf numFmtId="0" fontId="10" fillId="0" borderId="112" xfId="85" applyFont="1" applyBorder="1" applyAlignment="1">
      <alignment horizontal="left" vertical="center"/>
    </xf>
    <xf numFmtId="0" fontId="10" fillId="0" borderId="112" xfId="85" applyFont="1" applyBorder="1" applyAlignment="1">
      <alignment horizontal="left" vertical="center" wrapText="1"/>
    </xf>
    <xf numFmtId="167" fontId="10" fillId="3" borderId="112" xfId="85" applyNumberFormat="1" applyFont="1" applyFill="1" applyBorder="1" applyProtection="1">
      <protection locked="0"/>
    </xf>
    <xf numFmtId="0" fontId="11" fillId="0" borderId="112" xfId="85" applyFont="1" applyBorder="1" applyAlignment="1">
      <alignment horizontal="left" vertical="center" wrapText="1"/>
    </xf>
    <xf numFmtId="0" fontId="10" fillId="0" borderId="114" xfId="48237" applyBorder="1" applyAlignment="1">
      <alignment horizontal="center"/>
    </xf>
    <xf numFmtId="0" fontId="10" fillId="0" borderId="114" xfId="85" applyFont="1" applyBorder="1"/>
    <xf numFmtId="0" fontId="10" fillId="0" borderId="114" xfId="48237" applyBorder="1"/>
    <xf numFmtId="0" fontId="11" fillId="0" borderId="115" xfId="48237" applyFont="1" applyBorder="1" applyAlignment="1">
      <alignment horizontal="left"/>
    </xf>
    <xf numFmtId="0" fontId="10" fillId="0" borderId="115" xfId="85" applyFont="1" applyBorder="1"/>
    <xf numFmtId="0" fontId="10" fillId="0" borderId="115" xfId="48237" applyBorder="1"/>
    <xf numFmtId="0" fontId="11" fillId="0" borderId="115" xfId="85" applyFont="1" applyBorder="1"/>
    <xf numFmtId="0" fontId="11" fillId="0" borderId="115" xfId="85" applyFont="1" applyBorder="1" applyAlignment="1">
      <alignment vertical="center"/>
    </xf>
    <xf numFmtId="0" fontId="7" fillId="0" borderId="115" xfId="0" applyFont="1" applyBorder="1"/>
    <xf numFmtId="0" fontId="260" fillId="0" borderId="114" xfId="48238" applyFont="1" applyBorder="1"/>
    <xf numFmtId="0" fontId="7" fillId="0" borderId="114" xfId="0" applyFont="1" applyBorder="1"/>
    <xf numFmtId="0" fontId="10" fillId="0" borderId="114" xfId="48237" applyBorder="1" applyAlignment="1">
      <alignment horizontal="left"/>
    </xf>
    <xf numFmtId="0" fontId="10" fillId="0" borderId="114" xfId="85" applyFont="1" applyBorder="1" applyAlignment="1">
      <alignment horizontal="left" vertical="center"/>
    </xf>
    <xf numFmtId="348" fontId="10" fillId="0" borderId="79" xfId="48235" applyNumberFormat="1" applyFont="1" applyBorder="1" applyAlignment="1">
      <alignment horizontal="center"/>
    </xf>
    <xf numFmtId="348" fontId="10" fillId="0" borderId="80" xfId="48235" applyNumberFormat="1" applyFont="1" applyBorder="1" applyAlignment="1">
      <alignment horizontal="center"/>
    </xf>
    <xf numFmtId="348" fontId="10" fillId="0" borderId="81" xfId="48235" applyNumberFormat="1" applyFont="1" applyBorder="1" applyAlignment="1">
      <alignment horizontal="center"/>
    </xf>
    <xf numFmtId="348" fontId="10" fillId="0" borderId="80" xfId="84" applyNumberFormat="1" applyFont="1" applyBorder="1" applyAlignment="1">
      <alignment horizontal="center"/>
    </xf>
    <xf numFmtId="175" fontId="10" fillId="42" borderId="108" xfId="85" applyNumberFormat="1" applyFont="1" applyFill="1" applyBorder="1" applyAlignment="1">
      <alignment horizontal="center" wrapText="1"/>
    </xf>
    <xf numFmtId="175" fontId="10" fillId="42" borderId="109" xfId="85" applyNumberFormat="1" applyFont="1" applyFill="1" applyBorder="1" applyAlignment="1">
      <alignment horizontal="center" wrapText="1"/>
    </xf>
    <xf numFmtId="175" fontId="10" fillId="42" borderId="110" xfId="85" applyNumberFormat="1" applyFont="1" applyFill="1" applyBorder="1" applyAlignment="1">
      <alignment horizontal="center" wrapText="1"/>
    </xf>
    <xf numFmtId="175" fontId="10" fillId="42" borderId="108" xfId="85" applyNumberFormat="1" applyFont="1" applyFill="1" applyBorder="1" applyAlignment="1">
      <alignment horizontal="center"/>
    </xf>
    <xf numFmtId="175" fontId="10" fillId="42" borderId="109" xfId="85" applyNumberFormat="1" applyFont="1" applyFill="1" applyBorder="1" applyAlignment="1">
      <alignment horizontal="center"/>
    </xf>
    <xf numFmtId="175" fontId="10" fillId="42" borderId="110" xfId="85" applyNumberFormat="1" applyFont="1" applyFill="1" applyBorder="1" applyAlignment="1">
      <alignment horizontal="center"/>
    </xf>
    <xf numFmtId="0" fontId="10" fillId="42" borderId="108" xfId="85" applyFont="1" applyFill="1" applyBorder="1" applyAlignment="1">
      <alignment horizontal="center"/>
    </xf>
    <xf numFmtId="0" fontId="10" fillId="42" borderId="109" xfId="85" applyFont="1" applyFill="1" applyBorder="1" applyAlignment="1">
      <alignment horizontal="center"/>
    </xf>
    <xf numFmtId="0" fontId="10" fillId="42" borderId="110" xfId="85" applyFont="1" applyFill="1" applyBorder="1" applyAlignment="1">
      <alignment horizontal="center"/>
    </xf>
    <xf numFmtId="0" fontId="0" fillId="0" borderId="71" xfId="0" applyBorder="1" applyAlignment="1">
      <alignment horizontal="center" vertical="top"/>
    </xf>
    <xf numFmtId="0" fontId="0" fillId="0" borderId="72" xfId="0" applyBorder="1" applyAlignment="1">
      <alignment horizontal="center" vertical="top"/>
    </xf>
    <xf numFmtId="1" fontId="8" fillId="2" borderId="108" xfId="0" applyNumberFormat="1" applyFont="1" applyFill="1" applyBorder="1" applyAlignment="1">
      <alignment horizontal="center" vertical="center"/>
    </xf>
    <xf numFmtId="1" fontId="8" fillId="2" borderId="109" xfId="0" applyNumberFormat="1" applyFont="1" applyFill="1" applyBorder="1" applyAlignment="1">
      <alignment horizontal="center" vertical="center"/>
    </xf>
    <xf numFmtId="0" fontId="10" fillId="53" borderId="0" xfId="85" applyFont="1" applyFill="1"/>
    <xf numFmtId="0" fontId="263" fillId="53" borderId="0" xfId="85" applyFont="1" applyFill="1" applyAlignment="1">
      <alignment horizontal="center"/>
    </xf>
    <xf numFmtId="0" fontId="263" fillId="53" borderId="0" xfId="85" applyFont="1" applyFill="1"/>
    <xf numFmtId="0" fontId="264" fillId="53" borderId="0" xfId="85" applyFont="1" applyFill="1"/>
    <xf numFmtId="0" fontId="258" fillId="53" borderId="0" xfId="48237" applyFont="1" applyFill="1" applyAlignment="1">
      <alignment horizontal="left"/>
    </xf>
    <xf numFmtId="0" fontId="10" fillId="53" borderId="0" xfId="48237" applyFill="1"/>
    <xf numFmtId="0" fontId="263" fillId="0" borderId="0" xfId="85" applyFont="1" applyAlignment="1">
      <alignment horizontal="center"/>
    </xf>
    <xf numFmtId="0" fontId="263" fillId="0" borderId="0" xfId="85" applyFont="1"/>
    <xf numFmtId="0" fontId="264" fillId="0" borderId="0" xfId="85" applyFont="1"/>
    <xf numFmtId="0" fontId="255" fillId="117" borderId="0" xfId="85" applyFont="1" applyFill="1"/>
    <xf numFmtId="0" fontId="10" fillId="117" borderId="0" xfId="85" applyFont="1" applyFill="1"/>
    <xf numFmtId="0" fontId="10" fillId="117" borderId="109" xfId="85" applyFont="1" applyFill="1" applyBorder="1" applyAlignment="1">
      <alignment horizontal="center"/>
    </xf>
    <xf numFmtId="0" fontId="255" fillId="118" borderId="0" xfId="85" applyFont="1" applyFill="1"/>
    <xf numFmtId="0" fontId="10" fillId="118" borderId="0" xfId="85" applyFont="1" applyFill="1"/>
    <xf numFmtId="0" fontId="11" fillId="118" borderId="0" xfId="85" applyFont="1" applyFill="1"/>
    <xf numFmtId="175" fontId="10" fillId="0" borderId="0" xfId="85" applyNumberFormat="1" applyFont="1" applyAlignment="1">
      <alignment horizontal="left"/>
    </xf>
    <xf numFmtId="167" fontId="7" fillId="0" borderId="0" xfId="48236" applyFill="1" applyBorder="1">
      <alignment vertical="center"/>
    </xf>
    <xf numFmtId="0" fontId="258" fillId="0" borderId="0" xfId="48237" applyFont="1" applyAlignment="1">
      <alignment horizontal="left"/>
    </xf>
    <xf numFmtId="0" fontId="10" fillId="0" borderId="0" xfId="80" applyFont="1" applyAlignment="1">
      <alignment horizontal="right" indent="1"/>
    </xf>
    <xf numFmtId="169" fontId="10" fillId="0" borderId="0" xfId="85" applyNumberFormat="1" applyFont="1"/>
    <xf numFmtId="169" fontId="10" fillId="0" borderId="0" xfId="48237" applyNumberFormat="1"/>
    <xf numFmtId="168" fontId="37" fillId="0" borderId="0" xfId="94" applyFill="1">
      <alignment vertical="center"/>
    </xf>
    <xf numFmtId="0" fontId="10" fillId="0" borderId="99" xfId="85" quotePrefix="1" applyFont="1" applyBorder="1" applyAlignment="1">
      <alignment horizontal="center"/>
    </xf>
    <xf numFmtId="0" fontId="10" fillId="0" borderId="99" xfId="85" applyFont="1" applyBorder="1" applyAlignment="1">
      <alignment horizontal="center" wrapText="1"/>
    </xf>
    <xf numFmtId="0" fontId="10" fillId="0" borderId="97" xfId="85" quotePrefix="1" applyFont="1" applyBorder="1" applyAlignment="1">
      <alignment horizontal="center"/>
    </xf>
    <xf numFmtId="0" fontId="10" fillId="0" borderId="99" xfId="85" applyFont="1" applyBorder="1" applyAlignment="1">
      <alignment horizontal="center"/>
    </xf>
    <xf numFmtId="9" fontId="7" fillId="43" borderId="95" xfId="77" applyFill="1" applyBorder="1" applyAlignment="1" applyProtection="1">
      <alignment vertical="center"/>
    </xf>
    <xf numFmtId="0" fontId="264" fillId="53" borderId="117" xfId="85" applyFont="1" applyFill="1" applyBorder="1"/>
    <xf numFmtId="0" fontId="264" fillId="0" borderId="117" xfId="85" applyFont="1" applyBorder="1"/>
    <xf numFmtId="0" fontId="10" fillId="117" borderId="117" xfId="85" applyFont="1" applyFill="1" applyBorder="1"/>
    <xf numFmtId="0" fontId="10" fillId="0" borderId="117" xfId="85" applyFont="1" applyBorder="1"/>
    <xf numFmtId="0" fontId="10" fillId="118" borderId="117" xfId="85" applyFont="1" applyFill="1" applyBorder="1"/>
    <xf numFmtId="0" fontId="256" fillId="0" borderId="117" xfId="85" applyFont="1" applyBorder="1" applyProtection="1">
      <protection locked="0"/>
    </xf>
    <xf numFmtId="0" fontId="10" fillId="0" borderId="118" xfId="85" quotePrefix="1" applyFont="1" applyBorder="1" applyAlignment="1">
      <alignment horizontal="center"/>
    </xf>
    <xf numFmtId="0" fontId="11" fillId="0" borderId="117" xfId="85" applyFont="1" applyBorder="1"/>
    <xf numFmtId="0" fontId="263" fillId="53" borderId="117" xfId="85" applyFont="1" applyFill="1" applyBorder="1"/>
    <xf numFmtId="0" fontId="263" fillId="0" borderId="117" xfId="85" applyFont="1" applyBorder="1"/>
    <xf numFmtId="0" fontId="11" fillId="118" borderId="117" xfId="85" applyFont="1" applyFill="1" applyBorder="1"/>
    <xf numFmtId="167" fontId="7" fillId="0" borderId="117" xfId="48236" applyFill="1" applyBorder="1">
      <alignment vertical="center"/>
    </xf>
    <xf numFmtId="0" fontId="257" fillId="0" borderId="117" xfId="84" applyFont="1" applyBorder="1" applyAlignment="1">
      <alignment horizontal="center"/>
    </xf>
    <xf numFmtId="0" fontId="10" fillId="0" borderId="118" xfId="85" applyFont="1" applyBorder="1" applyAlignment="1">
      <alignment horizontal="center" wrapText="1"/>
    </xf>
    <xf numFmtId="0" fontId="10" fillId="0" borderId="119" xfId="85" quotePrefix="1" applyFont="1" applyBorder="1" applyAlignment="1">
      <alignment horizontal="center"/>
    </xf>
    <xf numFmtId="0" fontId="10" fillId="53" borderId="117" xfId="85" applyFont="1" applyFill="1" applyBorder="1"/>
    <xf numFmtId="0" fontId="10" fillId="0" borderId="118" xfId="85" applyFont="1" applyBorder="1" applyAlignment="1">
      <alignment horizontal="center"/>
    </xf>
    <xf numFmtId="171" fontId="10" fillId="0" borderId="117" xfId="48237" applyNumberFormat="1" applyBorder="1"/>
    <xf numFmtId="9" fontId="7" fillId="43" borderId="120" xfId="77" applyFill="1" applyBorder="1" applyAlignment="1" applyProtection="1">
      <alignment vertical="center"/>
    </xf>
    <xf numFmtId="169" fontId="10" fillId="0" borderId="117" xfId="85" applyNumberFormat="1" applyFont="1" applyBorder="1"/>
    <xf numFmtId="169" fontId="10" fillId="0" borderId="117" xfId="48237" applyNumberFormat="1" applyBorder="1"/>
    <xf numFmtId="1" fontId="8" fillId="2" borderId="93" xfId="0" applyNumberFormat="1" applyFont="1" applyFill="1" applyBorder="1" applyAlignment="1">
      <alignment horizontal="center" vertical="center"/>
    </xf>
    <xf numFmtId="1" fontId="8" fillId="2" borderId="121" xfId="0" applyNumberFormat="1" applyFont="1" applyFill="1" applyBorder="1" applyAlignment="1">
      <alignment horizontal="center" vertical="center"/>
    </xf>
    <xf numFmtId="0" fontId="256" fillId="0" borderId="0" xfId="85" applyFont="1" applyAlignment="1" applyProtection="1">
      <alignment horizontal="center"/>
      <protection locked="0"/>
    </xf>
    <xf numFmtId="0" fontId="10" fillId="118" borderId="0" xfId="85" applyFont="1" applyFill="1" applyAlignment="1">
      <alignment horizontal="center"/>
    </xf>
    <xf numFmtId="0" fontId="10" fillId="117" borderId="0" xfId="85" applyFont="1" applyFill="1" applyAlignment="1">
      <alignment horizontal="center"/>
    </xf>
    <xf numFmtId="0" fontId="11" fillId="118" borderId="0" xfId="85" applyFont="1" applyFill="1" applyAlignment="1">
      <alignment horizontal="center"/>
    </xf>
    <xf numFmtId="0" fontId="264" fillId="53" borderId="0" xfId="85" applyFont="1" applyFill="1" applyAlignment="1">
      <alignment horizontal="center"/>
    </xf>
    <xf numFmtId="0" fontId="264" fillId="0" borderId="0" xfId="85" applyFont="1" applyAlignment="1">
      <alignment horizontal="center"/>
    </xf>
    <xf numFmtId="0" fontId="250" fillId="42" borderId="0" xfId="79" applyFont="1" applyFill="1" applyAlignment="1" applyProtection="1">
      <alignment horizontal="left" indent="1"/>
      <protection locked="0"/>
    </xf>
    <xf numFmtId="168" fontId="37" fillId="48" borderId="0" xfId="94" applyAlignment="1">
      <alignment horizontal="left" vertical="center" indent="1"/>
    </xf>
    <xf numFmtId="0" fontId="254" fillId="0" borderId="0" xfId="85" applyFont="1" applyAlignment="1">
      <alignment horizontal="left" indent="1"/>
    </xf>
    <xf numFmtId="0" fontId="11" fillId="0" borderId="0" xfId="85" applyFont="1" applyAlignment="1">
      <alignment horizontal="left" indent="1"/>
    </xf>
    <xf numFmtId="168" fontId="38" fillId="49" borderId="0" xfId="96" applyAlignment="1">
      <alignment horizontal="left" vertical="center" indent="1"/>
    </xf>
    <xf numFmtId="348" fontId="10" fillId="0" borderId="62" xfId="48235" applyNumberFormat="1" applyFont="1" applyBorder="1" applyAlignment="1">
      <alignment horizontal="left" indent="1"/>
    </xf>
    <xf numFmtId="14" fontId="10" fillId="3" borderId="63" xfId="85" applyNumberFormat="1" applyFont="1" applyFill="1" applyBorder="1" applyAlignment="1" applyProtection="1">
      <alignment horizontal="center"/>
      <protection locked="0"/>
    </xf>
    <xf numFmtId="0" fontId="10" fillId="3" borderId="63" xfId="85" applyFont="1" applyFill="1" applyBorder="1" applyProtection="1">
      <protection locked="0"/>
    </xf>
    <xf numFmtId="0" fontId="10" fillId="3" borderId="63" xfId="83" applyNumberFormat="1" applyFont="1" applyFill="1" applyBorder="1" applyProtection="1">
      <protection locked="0"/>
    </xf>
    <xf numFmtId="173" fontId="10" fillId="3" borderId="63" xfId="83" applyNumberFormat="1" applyFont="1" applyFill="1" applyBorder="1" applyProtection="1">
      <protection locked="0"/>
    </xf>
    <xf numFmtId="170" fontId="10" fillId="3" borderId="63" xfId="83" applyNumberFormat="1" applyFont="1" applyFill="1" applyBorder="1" applyAlignment="1" applyProtection="1">
      <alignment horizontal="center"/>
      <protection locked="0"/>
    </xf>
    <xf numFmtId="170" fontId="10" fillId="3" borderId="64" xfId="83" applyNumberFormat="1" applyFont="1" applyFill="1" applyBorder="1" applyAlignment="1" applyProtection="1">
      <alignment horizontal="left" indent="1"/>
      <protection locked="0"/>
    </xf>
    <xf numFmtId="348" fontId="10" fillId="0" borderId="65" xfId="48235" applyNumberFormat="1" applyFont="1" applyBorder="1" applyAlignment="1">
      <alignment horizontal="left" indent="1"/>
    </xf>
    <xf numFmtId="170" fontId="10" fillId="3" borderId="64" xfId="83" applyNumberFormat="1" applyFont="1" applyFill="1" applyBorder="1" applyProtection="1">
      <protection locked="0"/>
    </xf>
    <xf numFmtId="348" fontId="10" fillId="0" borderId="62" xfId="84" applyNumberFormat="1" applyFont="1" applyBorder="1" applyAlignment="1">
      <alignment horizontal="left" indent="1"/>
    </xf>
    <xf numFmtId="0" fontId="10" fillId="0" borderId="62" xfId="85" applyFont="1" applyBorder="1" applyAlignment="1">
      <alignment horizontal="left" indent="1"/>
    </xf>
    <xf numFmtId="0" fontId="10" fillId="0" borderId="59" xfId="84" applyFont="1" applyBorder="1" applyAlignment="1">
      <alignment horizontal="left" indent="1"/>
    </xf>
    <xf numFmtId="0" fontId="10" fillId="0" borderId="65" xfId="85" applyFont="1" applyBorder="1" applyAlignment="1">
      <alignment horizontal="left" indent="1"/>
    </xf>
    <xf numFmtId="0" fontId="10" fillId="0" borderId="59" xfId="85" applyFont="1" applyBorder="1" applyAlignment="1">
      <alignment horizontal="centerContinuous"/>
    </xf>
    <xf numFmtId="0" fontId="10" fillId="0" borderId="60" xfId="85" applyFont="1" applyBorder="1" applyAlignment="1">
      <alignment horizontal="centerContinuous"/>
    </xf>
    <xf numFmtId="0" fontId="261" fillId="0" borderId="62" xfId="85" applyFont="1" applyBorder="1" applyAlignment="1">
      <alignment horizontal="center"/>
    </xf>
    <xf numFmtId="0" fontId="261" fillId="0" borderId="63" xfId="85" applyFont="1" applyBorder="1" applyAlignment="1">
      <alignment horizontal="center"/>
    </xf>
    <xf numFmtId="348" fontId="10" fillId="0" borderId="77" xfId="84" applyNumberFormat="1" applyFont="1" applyBorder="1" applyAlignment="1">
      <alignment horizontal="left" indent="1"/>
    </xf>
    <xf numFmtId="14" fontId="10" fillId="3" borderId="85" xfId="85" applyNumberFormat="1" applyFont="1" applyFill="1" applyBorder="1" applyAlignment="1" applyProtection="1">
      <alignment horizontal="center"/>
      <protection locked="0"/>
    </xf>
    <xf numFmtId="0" fontId="10" fillId="0" borderId="10" xfId="85" applyFont="1" applyBorder="1" applyAlignment="1">
      <alignment horizontal="left" indent="1"/>
    </xf>
    <xf numFmtId="0" fontId="265" fillId="0" borderId="59" xfId="85" applyFont="1" applyBorder="1" applyAlignment="1">
      <alignment horizontal="center" wrapText="1"/>
    </xf>
    <xf numFmtId="0" fontId="265" fillId="0" borderId="60" xfId="85" applyFont="1" applyBorder="1" applyAlignment="1">
      <alignment horizontal="center" wrapText="1"/>
    </xf>
    <xf numFmtId="0" fontId="10" fillId="42" borderId="108" xfId="85" applyFont="1" applyFill="1" applyBorder="1" applyAlignment="1">
      <alignment horizontal="left" indent="1"/>
    </xf>
    <xf numFmtId="0" fontId="10" fillId="0" borderId="109" xfId="85" applyFont="1" applyBorder="1" applyAlignment="1">
      <alignment horizontal="center"/>
    </xf>
    <xf numFmtId="0" fontId="10" fillId="0" borderId="110" xfId="85" applyFont="1" applyBorder="1"/>
    <xf numFmtId="0" fontId="10" fillId="0" borderId="94" xfId="85" applyFont="1" applyBorder="1"/>
    <xf numFmtId="0" fontId="10" fillId="0" borderId="93" xfId="85" applyFont="1" applyBorder="1" applyAlignment="1">
      <alignment horizontal="left" indent="1"/>
    </xf>
    <xf numFmtId="0" fontId="10" fillId="0" borderId="75" xfId="85" applyFont="1" applyBorder="1" applyAlignment="1">
      <alignment horizontal="center"/>
    </xf>
    <xf numFmtId="0" fontId="10" fillId="0" borderId="76" xfId="85" applyFont="1" applyBorder="1" applyAlignment="1">
      <alignment horizontal="center"/>
    </xf>
    <xf numFmtId="0" fontId="10" fillId="0" borderId="108" xfId="85" applyFont="1" applyBorder="1" applyAlignment="1">
      <alignment horizontal="left" indent="1"/>
    </xf>
    <xf numFmtId="0" fontId="10" fillId="0" borderId="93" xfId="85" applyFont="1" applyBorder="1" applyAlignment="1">
      <alignment horizontal="center"/>
    </xf>
    <xf numFmtId="0" fontId="10" fillId="0" borderId="77" xfId="85" applyFont="1" applyBorder="1" applyAlignment="1">
      <alignment horizontal="left" indent="1"/>
    </xf>
    <xf numFmtId="0" fontId="10" fillId="3" borderId="85" xfId="85" applyFont="1" applyFill="1" applyBorder="1" applyProtection="1">
      <protection locked="0"/>
    </xf>
    <xf numFmtId="170" fontId="10" fillId="3" borderId="85" xfId="83" applyNumberFormat="1" applyFont="1" applyFill="1" applyBorder="1" applyProtection="1">
      <protection locked="0"/>
    </xf>
    <xf numFmtId="173" fontId="10" fillId="3" borderId="85" xfId="83" applyNumberFormat="1" applyFont="1" applyFill="1" applyBorder="1" applyProtection="1">
      <protection locked="0"/>
    </xf>
    <xf numFmtId="170" fontId="10" fillId="3" borderId="85" xfId="83" applyNumberFormat="1" applyFont="1" applyFill="1" applyBorder="1" applyAlignment="1" applyProtection="1">
      <alignment horizontal="center"/>
      <protection locked="0"/>
    </xf>
    <xf numFmtId="170" fontId="10" fillId="3" borderId="85" xfId="83" applyNumberFormat="1" applyFont="1" applyFill="1" applyBorder="1" applyAlignment="1" applyProtection="1">
      <alignment horizontal="right" indent="1"/>
      <protection locked="0"/>
    </xf>
    <xf numFmtId="170" fontId="10" fillId="3" borderId="85" xfId="83" applyNumberFormat="1" applyFont="1" applyFill="1" applyBorder="1" applyAlignment="1" applyProtection="1">
      <alignment horizontal="left" indent="1"/>
      <protection locked="0"/>
    </xf>
    <xf numFmtId="0" fontId="10" fillId="0" borderId="109" xfId="85" applyFont="1" applyBorder="1" applyAlignment="1" applyProtection="1">
      <alignment horizontal="center" wrapText="1"/>
      <protection locked="0"/>
    </xf>
    <xf numFmtId="173" fontId="10" fillId="3" borderId="85" xfId="85" applyNumberFormat="1" applyFont="1" applyFill="1" applyBorder="1" applyAlignment="1" applyProtection="1">
      <alignment horizontal="left" indent="1"/>
      <protection locked="0"/>
    </xf>
    <xf numFmtId="0" fontId="10" fillId="3" borderId="85" xfId="83" applyNumberFormat="1" applyFont="1" applyFill="1" applyBorder="1" applyAlignment="1" applyProtection="1">
      <alignment horizontal="left" indent="1"/>
      <protection locked="0"/>
    </xf>
    <xf numFmtId="0" fontId="10" fillId="0" borderId="109" xfId="85" applyFont="1" applyBorder="1" applyAlignment="1">
      <alignment horizontal="center" wrapText="1"/>
    </xf>
    <xf numFmtId="0" fontId="10" fillId="0" borderId="110" xfId="85" applyFont="1" applyBorder="1" applyAlignment="1">
      <alignment horizontal="center" vertical="top"/>
    </xf>
    <xf numFmtId="252" fontId="10" fillId="3" borderId="85" xfId="83" applyNumberFormat="1" applyFont="1" applyFill="1" applyBorder="1" applyAlignment="1" applyProtection="1">
      <alignment horizontal="right" indent="1"/>
      <protection locked="0"/>
    </xf>
    <xf numFmtId="9" fontId="7" fillId="3" borderId="62" xfId="77" applyFill="1" applyBorder="1" applyAlignment="1" applyProtection="1">
      <alignment vertical="center"/>
      <protection locked="0"/>
    </xf>
    <xf numFmtId="9" fontId="7" fillId="3" borderId="59" xfId="77" applyFill="1" applyBorder="1" applyAlignment="1" applyProtection="1">
      <alignment vertical="center"/>
      <protection locked="0"/>
    </xf>
    <xf numFmtId="348" fontId="10" fillId="0" borderId="79" xfId="84" applyNumberFormat="1" applyFont="1" applyBorder="1" applyAlignment="1">
      <alignment horizontal="center"/>
    </xf>
    <xf numFmtId="348" fontId="10" fillId="0" borderId="81" xfId="84" applyNumberFormat="1" applyFont="1" applyBorder="1" applyAlignment="1">
      <alignment horizontal="center"/>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0" fontId="0" fillId="51" borderId="65" xfId="0" applyNumberFormat="1" applyFill="1" applyBorder="1" applyAlignment="1">
      <alignment horizontal="right" vertical="top"/>
    </xf>
    <xf numFmtId="0" fontId="248" fillId="0" borderId="0" xfId="0" applyFont="1" applyAlignment="1">
      <alignment horizontal="left" vertical="top" indent="1"/>
    </xf>
    <xf numFmtId="10" fontId="10" fillId="44" borderId="61" xfId="77" applyNumberFormat="1" applyFont="1" applyFill="1" applyBorder="1" applyAlignment="1" applyProtection="1">
      <alignment horizontal="right" indent="1"/>
    </xf>
    <xf numFmtId="10" fontId="10" fillId="44" borderId="64" xfId="77" applyNumberFormat="1" applyFont="1" applyFill="1" applyBorder="1" applyAlignment="1" applyProtection="1">
      <alignment horizontal="right" indent="1"/>
    </xf>
    <xf numFmtId="10" fontId="10" fillId="44" borderId="67" xfId="77" applyNumberFormat="1" applyFont="1" applyFill="1" applyBorder="1" applyAlignment="1" applyProtection="1">
      <alignment horizontal="right"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1" fontId="8" fillId="2" borderId="107" xfId="0" applyNumberFormat="1" applyFont="1" applyFill="1" applyBorder="1" applyAlignment="1">
      <alignment horizontal="center" vertical="center"/>
    </xf>
    <xf numFmtId="0" fontId="265" fillId="0" borderId="99" xfId="85" applyFont="1" applyBorder="1" applyAlignment="1">
      <alignment horizontal="center" wrapText="1"/>
    </xf>
    <xf numFmtId="0" fontId="10" fillId="0" borderId="99" xfId="85" applyFont="1" applyBorder="1" applyAlignment="1">
      <alignment horizontal="centerContinuous"/>
    </xf>
    <xf numFmtId="0" fontId="261" fillId="0" borderId="97" xfId="85" applyFont="1" applyBorder="1" applyAlignment="1">
      <alignment horizontal="center"/>
    </xf>
    <xf numFmtId="0" fontId="0" fillId="0" borderId="124" xfId="0" applyBorder="1" applyAlignment="1">
      <alignment horizontal="center" vertical="top"/>
    </xf>
    <xf numFmtId="1" fontId="8" fillId="2" borderId="124" xfId="0" applyNumberFormat="1" applyFont="1" applyFill="1" applyBorder="1" applyAlignment="1">
      <alignment horizontal="center" vertical="center"/>
    </xf>
    <xf numFmtId="0" fontId="10" fillId="0" borderId="117" xfId="85" applyFont="1" applyBorder="1" applyAlignment="1">
      <alignment horizontal="center"/>
    </xf>
    <xf numFmtId="0" fontId="265" fillId="0" borderId="118" xfId="85" applyFont="1" applyBorder="1" applyAlignment="1">
      <alignment horizontal="center" wrapText="1"/>
    </xf>
    <xf numFmtId="0" fontId="10" fillId="0" borderId="118" xfId="85" applyFont="1" applyBorder="1" applyAlignment="1">
      <alignment horizontal="centerContinuous"/>
    </xf>
    <xf numFmtId="0" fontId="261" fillId="0" borderId="119" xfId="85" applyFont="1" applyBorder="1" applyAlignment="1">
      <alignment horizontal="center"/>
    </xf>
    <xf numFmtId="168" fontId="37"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0" fontId="11" fillId="0" borderId="0" xfId="77" applyNumberFormat="1" applyFont="1" applyFill="1" applyBorder="1" applyProtection="1"/>
    <xf numFmtId="9" fontId="7" fillId="3" borderId="59" xfId="95" applyNumberFormat="1" applyFill="1" applyBorder="1" applyAlignment="1" applyProtection="1">
      <alignment vertical="center"/>
      <protection locked="0"/>
    </xf>
    <xf numFmtId="252" fontId="11" fillId="0" borderId="0" xfId="2" applyNumberFormat="1" applyFont="1" applyFill="1" applyBorder="1"/>
    <xf numFmtId="168"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78" fontId="0" fillId="51" borderId="71" xfId="1" applyNumberFormat="1" applyFont="1" applyFill="1" applyBorder="1" applyAlignment="1">
      <alignment horizontal="right"/>
    </xf>
    <xf numFmtId="170" fontId="10" fillId="38" borderId="59" xfId="77" applyNumberFormat="1" applyFont="1" applyFill="1" applyBorder="1" applyProtection="1"/>
    <xf numFmtId="170" fontId="10" fillId="38" borderId="61" xfId="77" applyNumberFormat="1" applyFont="1" applyFill="1" applyBorder="1" applyProtection="1"/>
    <xf numFmtId="172" fontId="10" fillId="38" borderId="68" xfId="1" applyNumberFormat="1" applyFont="1" applyFill="1" applyBorder="1" applyProtection="1"/>
    <xf numFmtId="172" fontId="10" fillId="38" borderId="69" xfId="1" applyNumberFormat="1" applyFont="1" applyFill="1" applyBorder="1" applyProtection="1"/>
    <xf numFmtId="0" fontId="10" fillId="3" borderId="112" xfId="48237" applyFill="1" applyBorder="1" applyAlignment="1">
      <alignment horizontal="left"/>
    </xf>
    <xf numFmtId="0" fontId="10" fillId="3" borderId="112" xfId="85" applyFont="1" applyFill="1" applyBorder="1"/>
    <xf numFmtId="0" fontId="10" fillId="3" borderId="112" xfId="84" applyFont="1" applyFill="1" applyBorder="1" applyAlignment="1">
      <alignment wrapText="1"/>
    </xf>
    <xf numFmtId="0" fontId="11" fillId="0" borderId="112" xfId="85" applyFont="1" applyBorder="1" applyAlignment="1">
      <alignment horizontal="left" vertical="center"/>
    </xf>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0" fontId="11" fillId="53" borderId="0" xfId="77" applyNumberFormat="1" applyFont="1" applyFill="1" applyBorder="1" applyProtection="1"/>
    <xf numFmtId="170"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3" fontId="0" fillId="119" borderId="63" xfId="0" applyNumberFormat="1" applyFill="1" applyBorder="1" applyAlignment="1">
      <alignment horizontal="right" indent="1"/>
    </xf>
    <xf numFmtId="0" fontId="0" fillId="54" borderId="108" xfId="0" applyFill="1" applyBorder="1" applyAlignment="1">
      <alignment horizontal="right" vertical="top"/>
    </xf>
    <xf numFmtId="172" fontId="10" fillId="38" borderId="79" xfId="1" applyNumberFormat="1" applyFont="1" applyFill="1" applyBorder="1" applyProtection="1"/>
    <xf numFmtId="172" fontId="10" fillId="38" borderId="108" xfId="1" applyNumberFormat="1" applyFont="1" applyFill="1" applyBorder="1" applyProtection="1"/>
    <xf numFmtId="172" fontId="10" fillId="38" borderId="109" xfId="1" applyNumberFormat="1" applyFont="1" applyFill="1" applyBorder="1" applyProtection="1"/>
    <xf numFmtId="172" fontId="10" fillId="38" borderId="90" xfId="1" applyNumberFormat="1" applyFont="1" applyFill="1" applyBorder="1" applyProtection="1"/>
    <xf numFmtId="172" fontId="10" fillId="38" borderId="126" xfId="1" applyNumberFormat="1" applyFont="1" applyFill="1" applyBorder="1" applyProtection="1"/>
    <xf numFmtId="172" fontId="10" fillId="3" borderId="62" xfId="2" applyNumberFormat="1" applyFont="1" applyFill="1" applyBorder="1"/>
    <xf numFmtId="172" fontId="0" fillId="3" borderId="59" xfId="0" applyNumberFormat="1" applyFill="1" applyBorder="1" applyAlignment="1">
      <alignment horizontal="right" vertical="top"/>
    </xf>
    <xf numFmtId="172" fontId="0" fillId="3" borderId="63" xfId="0" applyNumberFormat="1" applyFill="1" applyBorder="1" applyAlignment="1">
      <alignment horizontal="right" vertical="top"/>
    </xf>
    <xf numFmtId="172" fontId="8" fillId="52" borderId="71" xfId="0" applyNumberFormat="1" applyFont="1" applyFill="1" applyBorder="1" applyAlignment="1">
      <alignment horizontal="right"/>
    </xf>
    <xf numFmtId="172" fontId="8" fillId="52" borderId="71" xfId="0" applyNumberFormat="1" applyFont="1" applyFill="1" applyBorder="1" applyAlignment="1">
      <alignment horizontal="right" vertical="top"/>
    </xf>
    <xf numFmtId="172" fontId="8" fillId="52" borderId="72" xfId="0" applyNumberFormat="1" applyFont="1" applyFill="1" applyBorder="1" applyAlignment="1">
      <alignment horizontal="right" vertical="top"/>
    </xf>
    <xf numFmtId="172" fontId="8" fillId="52" borderId="59" xfId="0" applyNumberFormat="1" applyFont="1" applyFill="1" applyBorder="1" applyAlignment="1">
      <alignment horizontal="right" vertical="top"/>
    </xf>
    <xf numFmtId="172" fontId="0" fillId="54" borderId="71" xfId="0" applyNumberFormat="1" applyFill="1" applyBorder="1" applyAlignment="1">
      <alignment horizontal="right" vertical="top"/>
    </xf>
    <xf numFmtId="172" fontId="0" fillId="52" borderId="71" xfId="0" applyNumberFormat="1" applyFill="1" applyBorder="1" applyAlignment="1">
      <alignment horizontal="right" vertical="top"/>
    </xf>
    <xf numFmtId="172" fontId="0" fillId="52" borderId="72" xfId="0" applyNumberFormat="1" applyFill="1" applyBorder="1" applyAlignment="1">
      <alignment horizontal="right" vertical="top"/>
    </xf>
    <xf numFmtId="172" fontId="10" fillId="52" borderId="105" xfId="2" applyNumberFormat="1" applyFont="1" applyFill="1" applyBorder="1" applyAlignment="1">
      <alignment vertical="center"/>
    </xf>
    <xf numFmtId="172" fontId="10" fillId="52" borderId="79" xfId="2" applyNumberFormat="1" applyFont="1" applyFill="1" applyBorder="1" applyAlignment="1">
      <alignment vertical="center"/>
    </xf>
    <xf numFmtId="172" fontId="10" fillId="52" borderId="106" xfId="2" applyNumberFormat="1" applyFont="1" applyFill="1" applyBorder="1" applyAlignment="1">
      <alignment vertical="center"/>
    </xf>
    <xf numFmtId="172" fontId="10" fillId="52" borderId="127" xfId="2" applyNumberFormat="1" applyFont="1" applyFill="1" applyBorder="1" applyAlignment="1">
      <alignment vertical="center"/>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0" fillId="52" borderId="59" xfId="0" applyNumberFormat="1" applyFill="1" applyBorder="1" applyAlignment="1">
      <alignment horizontal="right" vertical="top"/>
    </xf>
    <xf numFmtId="172" fontId="10" fillId="52" borderId="71" xfId="2" applyNumberFormat="1" applyFont="1" applyFill="1" applyBorder="1" applyAlignment="1">
      <alignment horizontal="right" vertical="center"/>
    </xf>
    <xf numFmtId="172" fontId="10" fillId="52" borderId="73" xfId="2" applyNumberFormat="1" applyFont="1" applyFill="1" applyBorder="1" applyAlignment="1">
      <alignment horizontal="right" vertical="center"/>
    </xf>
    <xf numFmtId="172" fontId="11" fillId="52" borderId="71" xfId="2" applyNumberFormat="1" applyFont="1" applyFill="1" applyBorder="1" applyAlignment="1">
      <alignment horizontal="right" vertical="center"/>
    </xf>
    <xf numFmtId="172" fontId="11" fillId="52" borderId="73" xfId="2" applyNumberFormat="1" applyFont="1" applyFill="1" applyBorder="1" applyAlignment="1">
      <alignment horizontal="right" vertical="center"/>
    </xf>
    <xf numFmtId="172" fontId="10" fillId="51" borderId="59" xfId="1" applyNumberFormat="1" applyFont="1" applyFill="1" applyBorder="1"/>
    <xf numFmtId="172" fontId="10" fillId="51" borderId="60" xfId="1" applyNumberFormat="1" applyFont="1" applyFill="1" applyBorder="1"/>
    <xf numFmtId="172" fontId="10" fillId="51" borderId="62" xfId="1" applyNumberFormat="1" applyFont="1" applyFill="1" applyBorder="1"/>
    <xf numFmtId="172" fontId="10" fillId="51" borderId="63" xfId="1" applyNumberFormat="1" applyFont="1" applyFill="1" applyBorder="1"/>
    <xf numFmtId="172" fontId="8" fillId="52" borderId="71" xfId="1" applyNumberFormat="1" applyFont="1" applyFill="1" applyBorder="1" applyAlignment="1">
      <alignment horizontal="right"/>
    </xf>
    <xf numFmtId="172" fontId="0" fillId="52" borderId="74" xfId="0" applyNumberFormat="1" applyFill="1" applyBorder="1"/>
    <xf numFmtId="172" fontId="0" fillId="52" borderId="75" xfId="0" applyNumberFormat="1" applyFill="1" applyBorder="1"/>
    <xf numFmtId="172" fontId="10" fillId="52" borderId="59" xfId="1" applyNumberFormat="1" applyFont="1" applyFill="1" applyBorder="1" applyProtection="1"/>
    <xf numFmtId="172" fontId="0" fillId="52" borderId="59" xfId="0" applyNumberFormat="1" applyFill="1" applyBorder="1"/>
    <xf numFmtId="172" fontId="0" fillId="52" borderId="60" xfId="0" applyNumberFormat="1" applyFill="1" applyBorder="1"/>
    <xf numFmtId="172" fontId="11" fillId="52" borderId="71" xfId="2" applyNumberFormat="1" applyFont="1" applyFill="1" applyBorder="1"/>
    <xf numFmtId="172" fontId="0" fillId="52" borderId="71" xfId="0" applyNumberFormat="1" applyFill="1" applyBorder="1" applyAlignment="1">
      <alignment horizontal="right" vertical="center"/>
    </xf>
    <xf numFmtId="172" fontId="0" fillId="0" borderId="0" xfId="0" applyNumberFormat="1"/>
    <xf numFmtId="172"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172" fontId="10" fillId="3" borderId="59" xfId="85" applyNumberFormat="1" applyFont="1" applyFill="1" applyBorder="1" applyProtection="1">
      <protection locked="0"/>
    </xf>
    <xf numFmtId="172" fontId="10" fillId="3" borderId="62" xfId="85" applyNumberFormat="1" applyFont="1" applyFill="1" applyBorder="1" applyProtection="1">
      <protection locked="0"/>
    </xf>
    <xf numFmtId="172" fontId="7" fillId="43" borderId="108" xfId="48236" applyNumberFormat="1" applyBorder="1">
      <alignment vertical="center"/>
    </xf>
    <xf numFmtId="172" fontId="7" fillId="43" borderId="109" xfId="48236" applyNumberFormat="1" applyBorder="1">
      <alignment vertical="center"/>
    </xf>
    <xf numFmtId="172" fontId="7" fillId="43" borderId="93" xfId="48236" applyNumberFormat="1" applyBorder="1">
      <alignment vertical="center"/>
    </xf>
    <xf numFmtId="172" fontId="7" fillId="43" borderId="121" xfId="48236" applyNumberFormat="1" applyBorder="1">
      <alignment vertical="center"/>
    </xf>
    <xf numFmtId="172" fontId="7" fillId="43" borderId="71" xfId="48236" applyNumberFormat="1" applyBorder="1">
      <alignment vertical="center"/>
    </xf>
    <xf numFmtId="172" fontId="7" fillId="43" borderId="72" xfId="48236" applyNumberFormat="1" applyBorder="1">
      <alignment vertical="center"/>
    </xf>
    <xf numFmtId="172" fontId="7" fillId="43" borderId="107" xfId="48236" applyNumberFormat="1" applyBorder="1">
      <alignment vertical="center"/>
    </xf>
    <xf numFmtId="172" fontId="7" fillId="43" borderId="122" xfId="48236" applyNumberFormat="1" applyBorder="1">
      <alignment vertical="center"/>
    </xf>
    <xf numFmtId="172" fontId="7" fillId="43" borderId="59" xfId="48236" applyNumberFormat="1" applyBorder="1">
      <alignment vertical="center"/>
    </xf>
    <xf numFmtId="172" fontId="7" fillId="43" borderId="60" xfId="48236" applyNumberFormat="1" applyBorder="1">
      <alignment vertical="center"/>
    </xf>
    <xf numFmtId="172" fontId="7" fillId="43" borderId="99" xfId="48236" applyNumberFormat="1" applyBorder="1">
      <alignment vertical="center"/>
    </xf>
    <xf numFmtId="172" fontId="7" fillId="43" borderId="118" xfId="48236" applyNumberFormat="1" applyBorder="1">
      <alignment vertical="center"/>
    </xf>
    <xf numFmtId="172" fontId="10" fillId="3" borderId="68" xfId="85" applyNumberFormat="1" applyFont="1" applyFill="1" applyBorder="1" applyProtection="1">
      <protection locked="0"/>
    </xf>
    <xf numFmtId="172" fontId="10" fillId="44" borderId="59" xfId="85" applyNumberFormat="1" applyFont="1" applyFill="1" applyBorder="1"/>
    <xf numFmtId="172" fontId="10" fillId="44" borderId="60" xfId="85" applyNumberFormat="1" applyFont="1" applyFill="1" applyBorder="1"/>
    <xf numFmtId="172" fontId="10" fillId="44" borderId="99" xfId="85" applyNumberFormat="1" applyFont="1" applyFill="1" applyBorder="1"/>
    <xf numFmtId="172" fontId="10" fillId="44" borderId="118" xfId="85" applyNumberFormat="1" applyFont="1" applyFill="1" applyBorder="1"/>
    <xf numFmtId="172" fontId="7" fillId="43" borderId="65" xfId="48236" applyNumberFormat="1" applyBorder="1">
      <alignment vertical="center"/>
    </xf>
    <xf numFmtId="172" fontId="7" fillId="43" borderId="66" xfId="48236" applyNumberFormat="1" applyBorder="1">
      <alignment vertical="center"/>
    </xf>
    <xf numFmtId="172" fontId="7" fillId="43" borderId="95" xfId="48236" applyNumberFormat="1" applyBorder="1">
      <alignment vertical="center"/>
    </xf>
    <xf numFmtId="172" fontId="7" fillId="43" borderId="120" xfId="48236" applyNumberFormat="1" applyBorder="1">
      <alignment vertical="center"/>
    </xf>
    <xf numFmtId="172" fontId="7" fillId="3" borderId="62" xfId="95" applyNumberFormat="1" applyFill="1" applyBorder="1" applyAlignment="1" applyProtection="1">
      <alignment vertical="center"/>
      <protection locked="0"/>
    </xf>
    <xf numFmtId="172" fontId="7" fillId="3" borderId="65" xfId="95" applyNumberFormat="1" applyFill="1" applyBorder="1" applyAlignment="1" applyProtection="1">
      <alignment vertical="center"/>
      <protection locked="0"/>
    </xf>
    <xf numFmtId="172" fontId="7" fillId="3" borderId="66" xfId="95" applyNumberFormat="1" applyFill="1" applyBorder="1" applyAlignment="1" applyProtection="1">
      <alignment vertical="center"/>
      <protection locked="0"/>
    </xf>
    <xf numFmtId="172" fontId="7" fillId="3" borderId="95" xfId="95" applyNumberFormat="1" applyFill="1" applyBorder="1" applyAlignment="1" applyProtection="1">
      <alignment vertical="center"/>
      <protection locked="0"/>
    </xf>
    <xf numFmtId="172" fontId="7" fillId="3" borderId="120" xfId="95" applyNumberFormat="1" applyFill="1" applyBorder="1" applyAlignment="1" applyProtection="1">
      <alignment vertical="center"/>
      <protection locked="0"/>
    </xf>
    <xf numFmtId="172" fontId="10" fillId="3" borderId="62" xfId="95" applyNumberFormat="1" applyFont="1" applyFill="1" applyBorder="1" applyAlignment="1" applyProtection="1">
      <alignment horizontal="right"/>
      <protection locked="0"/>
    </xf>
    <xf numFmtId="172" fontId="7" fillId="43" borderId="62" xfId="48236" applyNumberFormat="1" applyBorder="1">
      <alignment vertical="center"/>
    </xf>
    <xf numFmtId="172" fontId="7" fillId="43" borderId="63" xfId="48236" applyNumberFormat="1" applyBorder="1">
      <alignment vertical="center"/>
    </xf>
    <xf numFmtId="172" fontId="7" fillId="43" borderId="97" xfId="48236" applyNumberFormat="1" applyBorder="1">
      <alignment vertical="center"/>
    </xf>
    <xf numFmtId="172" fontId="7" fillId="43" borderId="119" xfId="48236" applyNumberFormat="1" applyBorder="1">
      <alignment vertical="center"/>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2" fontId="10" fillId="0" borderId="0" xfId="1" applyNumberFormat="1" applyFont="1" applyFill="1" applyBorder="1" applyProtection="1"/>
    <xf numFmtId="0" fontId="10" fillId="0" borderId="85" xfId="85" applyFont="1" applyBorder="1" applyAlignment="1">
      <alignment vertical="top"/>
    </xf>
    <xf numFmtId="0" fontId="10" fillId="0" borderId="0" xfId="85" applyFont="1" applyAlignment="1">
      <alignment horizontal="center" vertical="center"/>
    </xf>
    <xf numFmtId="0" fontId="10" fillId="0" borderId="117" xfId="85" applyFont="1" applyBorder="1" applyAlignment="1">
      <alignment horizontal="center" vertical="center"/>
    </xf>
    <xf numFmtId="0" fontId="10" fillId="0" borderId="85" xfId="85" applyFont="1" applyBorder="1" applyAlignment="1">
      <alignment horizontal="center" vertical="top"/>
    </xf>
    <xf numFmtId="0" fontId="10" fillId="0" borderId="85" xfId="85" applyFont="1" applyBorder="1" applyAlignment="1">
      <alignment vertical="top" wrapText="1"/>
    </xf>
    <xf numFmtId="0" fontId="10" fillId="0" borderId="85" xfId="85" applyFont="1" applyBorder="1" applyAlignment="1">
      <alignment horizontal="center" vertical="top" wrapText="1"/>
    </xf>
    <xf numFmtId="0" fontId="10" fillId="0" borderId="78" xfId="85" applyFont="1" applyBorder="1" applyAlignment="1">
      <alignment horizontal="center" vertical="top" wrapText="1"/>
    </xf>
    <xf numFmtId="0" fontId="10" fillId="0" borderId="90" xfId="84" applyFont="1" applyBorder="1" applyAlignment="1">
      <alignment horizontal="center" vertical="top"/>
    </xf>
    <xf numFmtId="0" fontId="10" fillId="0" borderId="109" xfId="85" applyFont="1" applyBorder="1" applyAlignment="1">
      <alignment horizontal="center" vertical="top"/>
    </xf>
    <xf numFmtId="0" fontId="10" fillId="0" borderId="109" xfId="85" applyFont="1" applyBorder="1" applyAlignment="1" applyProtection="1">
      <alignment horizontal="center" vertical="top"/>
      <protection locked="0"/>
    </xf>
    <xf numFmtId="0" fontId="10" fillId="0" borderId="109" xfId="85" applyFont="1" applyBorder="1" applyAlignment="1" applyProtection="1">
      <alignment horizontal="center" vertical="top" wrapText="1"/>
      <protection locked="0"/>
    </xf>
    <xf numFmtId="0" fontId="10" fillId="0" borderId="91" xfId="85" applyFont="1" applyBorder="1" applyAlignment="1">
      <alignment horizontal="center" vertical="top"/>
    </xf>
    <xf numFmtId="0" fontId="10" fillId="0" borderId="0" xfId="85" applyFont="1" applyAlignment="1">
      <alignment horizontal="center" vertical="top"/>
    </xf>
    <xf numFmtId="0" fontId="10" fillId="0" borderId="59" xfId="85" quotePrefix="1" applyFont="1" applyBorder="1" applyAlignment="1">
      <alignment horizontal="center" vertical="top"/>
    </xf>
    <xf numFmtId="0" fontId="10" fillId="0" borderId="60" xfId="85" quotePrefix="1" applyFont="1" applyBorder="1" applyAlignment="1">
      <alignment horizontal="center" vertical="top"/>
    </xf>
    <xf numFmtId="0" fontId="10" fillId="0" borderId="99" xfId="85" quotePrefix="1" applyFont="1" applyBorder="1" applyAlignment="1">
      <alignment horizontal="center" vertical="top"/>
    </xf>
    <xf numFmtId="0" fontId="10" fillId="0" borderId="118" xfId="85" quotePrefix="1" applyFont="1" applyBorder="1" applyAlignment="1">
      <alignment horizontal="center" vertical="top"/>
    </xf>
    <xf numFmtId="0" fontId="10" fillId="0" borderId="77" xfId="85" applyFont="1" applyBorder="1" applyAlignment="1">
      <alignment horizontal="left" vertical="top"/>
    </xf>
    <xf numFmtId="0" fontId="10" fillId="0" borderId="0" xfId="84" applyFont="1">
      <alignment vertical="top"/>
    </xf>
    <xf numFmtId="0" fontId="10" fillId="0" borderId="59" xfId="85" applyFont="1" applyBorder="1" applyAlignment="1">
      <alignment horizontal="center" vertical="top"/>
    </xf>
    <xf numFmtId="0" fontId="10" fillId="0" borderId="60" xfId="85" applyFont="1" applyBorder="1" applyAlignment="1">
      <alignment horizontal="center" vertical="top"/>
    </xf>
    <xf numFmtId="0" fontId="10" fillId="0" borderId="99" xfId="85" applyFont="1" applyBorder="1" applyAlignment="1">
      <alignment horizontal="center" vertical="top"/>
    </xf>
    <xf numFmtId="0" fontId="10" fillId="0" borderId="118" xfId="85" applyFont="1" applyBorder="1" applyAlignment="1">
      <alignment horizontal="center" vertical="top"/>
    </xf>
    <xf numFmtId="0" fontId="10" fillId="0" borderId="0" xfId="85" applyFont="1" applyAlignment="1">
      <alignment vertical="top"/>
    </xf>
    <xf numFmtId="0" fontId="10" fillId="44" borderId="60" xfId="85" applyFont="1" applyFill="1" applyBorder="1" applyAlignment="1">
      <alignment horizontal="right" indent="1"/>
    </xf>
    <xf numFmtId="175" fontId="10" fillId="44" borderId="60" xfId="85" applyNumberFormat="1" applyFont="1" applyFill="1" applyBorder="1" applyAlignment="1">
      <alignment horizontal="right"/>
    </xf>
    <xf numFmtId="175" fontId="10" fillId="44" borderId="63" xfId="85" applyNumberFormat="1" applyFont="1" applyFill="1" applyBorder="1" applyAlignment="1">
      <alignment horizontal="right"/>
    </xf>
    <xf numFmtId="175" fontId="10" fillId="44" borderId="66" xfId="85" applyNumberFormat="1" applyFont="1" applyFill="1" applyBorder="1" applyAlignment="1">
      <alignment horizontal="right"/>
    </xf>
    <xf numFmtId="175" fontId="10" fillId="44" borderId="60" xfId="85" applyNumberFormat="1" applyFont="1" applyFill="1" applyBorder="1" applyAlignment="1">
      <alignment horizontal="right" indent="1"/>
    </xf>
    <xf numFmtId="175" fontId="10" fillId="44" borderId="63" xfId="85" applyNumberFormat="1" applyFont="1" applyFill="1" applyBorder="1" applyAlignment="1">
      <alignment horizontal="right" indent="1"/>
    </xf>
    <xf numFmtId="0" fontId="0" fillId="52" borderId="79" xfId="0" applyFill="1" applyBorder="1" applyAlignment="1">
      <alignment horizontal="left" vertical="center" wrapText="1" indent="1"/>
    </xf>
    <xf numFmtId="172"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2" fontId="10" fillId="0" borderId="0" xfId="2" applyNumberFormat="1" applyFont="1" applyFill="1" applyBorder="1" applyAlignment="1">
      <alignment horizontal="right" vertical="center"/>
    </xf>
    <xf numFmtId="0" fontId="8"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8" fillId="53" borderId="0" xfId="0" applyFont="1" applyFill="1" applyAlignment="1">
      <alignment horizontal="left" indent="1"/>
    </xf>
    <xf numFmtId="172" fontId="10" fillId="3" borderId="59" xfId="1" applyNumberFormat="1" applyFont="1" applyFill="1" applyBorder="1" applyProtection="1"/>
    <xf numFmtId="348" fontId="10" fillId="0" borderId="101" xfId="48235" applyNumberFormat="1" applyFont="1" applyBorder="1" applyAlignment="1">
      <alignment horizontal="left" indent="1"/>
    </xf>
    <xf numFmtId="0" fontId="10" fillId="42" borderId="0" xfId="85" applyFont="1" applyFill="1"/>
    <xf numFmtId="0" fontId="10" fillId="0" borderId="99" xfId="85" applyFont="1" applyBorder="1" applyAlignment="1">
      <alignment horizontal="left" indent="1"/>
    </xf>
    <xf numFmtId="14" fontId="10" fillId="51" borderId="63" xfId="85" applyNumberFormat="1" applyFont="1" applyFill="1" applyBorder="1" applyAlignment="1" applyProtection="1">
      <alignment horizontal="center"/>
      <protection locked="0"/>
    </xf>
    <xf numFmtId="14" fontId="10" fillId="51" borderId="85" xfId="85" applyNumberFormat="1" applyFont="1" applyFill="1" applyBorder="1" applyAlignment="1" applyProtection="1">
      <alignment horizontal="center"/>
      <protection locked="0"/>
    </xf>
    <xf numFmtId="0" fontId="10" fillId="0" borderId="59" xfId="85" applyFont="1" applyBorder="1" applyAlignment="1">
      <alignment horizontal="left" indent="1"/>
    </xf>
    <xf numFmtId="167" fontId="7" fillId="51" borderId="66" xfId="48239" applyFill="1" applyBorder="1" applyAlignment="1">
      <alignment horizontal="left"/>
      <protection locked="0"/>
    </xf>
    <xf numFmtId="167" fontId="7" fillId="51" borderId="95" xfId="48239" applyFill="1" applyBorder="1" applyAlignment="1">
      <protection locked="0"/>
    </xf>
    <xf numFmtId="167" fontId="7" fillId="51" borderId="102" xfId="48239" applyFill="1" applyBorder="1" applyAlignment="1">
      <protection locked="0"/>
    </xf>
    <xf numFmtId="167" fontId="7" fillId="51" borderId="96" xfId="48239" applyFill="1" applyBorder="1" applyAlignment="1">
      <protection locked="0"/>
    </xf>
    <xf numFmtId="15" fontId="244" fillId="46" borderId="126" xfId="48240" applyNumberFormat="1" applyFont="1" applyFill="1" applyBorder="1" applyAlignment="1">
      <alignment horizontal="center" vertical="top" wrapText="1"/>
    </xf>
    <xf numFmtId="0" fontId="244" fillId="46" borderId="126" xfId="48240" applyFont="1" applyFill="1" applyBorder="1" applyAlignment="1">
      <alignment vertical="top" wrapText="1"/>
    </xf>
    <xf numFmtId="0" fontId="244" fillId="46" borderId="126" xfId="48240" applyFont="1" applyFill="1" applyBorder="1" applyAlignment="1">
      <alignment horizontal="center" vertical="top" wrapText="1"/>
    </xf>
    <xf numFmtId="0" fontId="30" fillId="42" borderId="0" xfId="90" applyFont="1" applyFill="1" applyAlignment="1">
      <alignment horizontal="left"/>
    </xf>
    <xf numFmtId="0" fontId="10" fillId="0" borderId="126" xfId="85" applyFont="1" applyBorder="1"/>
    <xf numFmtId="0" fontId="10" fillId="54" borderId="0" xfId="85" applyFont="1" applyFill="1"/>
    <xf numFmtId="0" fontId="10" fillId="51" borderId="99" xfId="85" applyFont="1" applyFill="1" applyBorder="1" applyProtection="1">
      <protection locked="0"/>
    </xf>
    <xf numFmtId="0" fontId="10" fillId="51" borderId="84" xfId="85" applyFont="1" applyFill="1" applyBorder="1" applyProtection="1">
      <protection locked="0"/>
    </xf>
    <xf numFmtId="0" fontId="10" fillId="51" borderId="100" xfId="85" applyFont="1" applyFill="1" applyBorder="1" applyProtection="1">
      <protection locked="0"/>
    </xf>
    <xf numFmtId="14" fontId="10" fillId="51" borderId="125" xfId="85" applyNumberFormat="1" applyFont="1" applyFill="1" applyBorder="1" applyAlignment="1" applyProtection="1">
      <alignment horizontal="center"/>
      <protection locked="0"/>
    </xf>
    <xf numFmtId="0" fontId="10" fillId="0" borderId="88" xfId="85" applyFont="1" applyBorder="1" applyAlignment="1">
      <alignment horizontal="left" indent="1"/>
    </xf>
    <xf numFmtId="0" fontId="10" fillId="0" borderId="94" xfId="85" applyFont="1" applyBorder="1" applyAlignment="1">
      <alignment horizontal="left" indent="1"/>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10" fontId="7" fillId="3" borderId="59" xfId="48239" applyNumberFormat="1" applyBorder="1">
      <alignment vertical="center"/>
      <protection locked="0"/>
    </xf>
    <xf numFmtId="10" fontId="7" fillId="3" borderId="59" xfId="95" applyNumberFormat="1" applyFill="1" applyBorder="1" applyAlignment="1" applyProtection="1">
      <alignment vertical="center"/>
      <protection locked="0"/>
    </xf>
    <xf numFmtId="0" fontId="10" fillId="0" borderId="0" xfId="7" applyFont="1" applyAlignment="1">
      <alignment horizontal="left" vertical="center" wrapText="1" indent="1"/>
    </xf>
    <xf numFmtId="0" fontId="0" fillId="0" borderId="85" xfId="0" applyBorder="1" applyAlignment="1">
      <alignment vertical="center" wrapText="1"/>
    </xf>
    <xf numFmtId="168" fontId="11" fillId="0" borderId="0" xfId="0" applyNumberFormat="1" applyFont="1" applyAlignment="1">
      <alignment horizontal="left" vertical="center" indent="1"/>
    </xf>
    <xf numFmtId="167" fontId="10" fillId="3" borderId="0" xfId="85" applyNumberFormat="1" applyFont="1" applyFill="1" applyProtection="1">
      <protection locked="0"/>
    </xf>
    <xf numFmtId="0" fontId="8" fillId="42" borderId="0" xfId="0" applyFont="1" applyFill="1" applyAlignment="1">
      <alignment horizontal="left" indent="1"/>
    </xf>
    <xf numFmtId="167" fontId="10" fillId="42" borderId="0" xfId="85" applyNumberFormat="1" applyFont="1" applyFill="1" applyProtection="1">
      <protection locked="0"/>
    </xf>
    <xf numFmtId="172" fontId="7" fillId="42" borderId="0" xfId="48236" applyNumberFormat="1" applyFill="1" applyBorder="1">
      <alignment vertical="center"/>
    </xf>
    <xf numFmtId="0" fontId="10" fillId="3" borderId="0" xfId="85" applyFont="1" applyFill="1" applyAlignment="1">
      <alignment horizontal="left" vertical="center"/>
    </xf>
    <xf numFmtId="168"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2" fontId="0" fillId="51" borderId="71" xfId="0" applyNumberFormat="1" applyFill="1" applyBorder="1"/>
    <xf numFmtId="170" fontId="0" fillId="51" borderId="68" xfId="0" applyNumberFormat="1" applyFill="1" applyBorder="1"/>
    <xf numFmtId="170"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2" fontId="11" fillId="51" borderId="71" xfId="1" applyNumberFormat="1" applyFont="1" applyFill="1" applyBorder="1" applyProtection="1"/>
    <xf numFmtId="172" fontId="10" fillId="51" borderId="71" xfId="1" applyNumberFormat="1" applyFont="1" applyFill="1" applyBorder="1" applyProtection="1"/>
    <xf numFmtId="170" fontId="10" fillId="116" borderId="71" xfId="1" applyNumberFormat="1" applyFont="1" applyFill="1" applyBorder="1" applyProtection="1"/>
    <xf numFmtId="170" fontId="10" fillId="116" borderId="72" xfId="1" applyNumberFormat="1" applyFont="1" applyFill="1" applyBorder="1" applyProtection="1"/>
    <xf numFmtId="175" fontId="10" fillId="52" borderId="60" xfId="85" applyNumberFormat="1" applyFont="1" applyFill="1" applyBorder="1" applyAlignment="1">
      <alignment horizontal="center"/>
    </xf>
    <xf numFmtId="0" fontId="10" fillId="52" borderId="60" xfId="85" applyFont="1" applyFill="1" applyBorder="1"/>
    <xf numFmtId="0" fontId="10" fillId="52" borderId="60" xfId="85" applyFont="1" applyFill="1" applyBorder="1" applyAlignment="1">
      <alignment horizontal="left" indent="1"/>
    </xf>
    <xf numFmtId="0" fontId="10" fillId="52" borderId="60" xfId="85" applyFont="1" applyFill="1" applyBorder="1" applyAlignment="1">
      <alignment horizontal="right" indent="1"/>
    </xf>
    <xf numFmtId="10" fontId="10" fillId="52" borderId="61" xfId="77" applyNumberFormat="1" applyFont="1" applyFill="1" applyBorder="1" applyAlignment="1" applyProtection="1">
      <alignment horizontal="right" indent="1"/>
    </xf>
    <xf numFmtId="175" fontId="10" fillId="52" borderId="63" xfId="85" applyNumberFormat="1" applyFont="1" applyFill="1" applyBorder="1" applyAlignment="1">
      <alignment horizontal="center"/>
    </xf>
    <xf numFmtId="10" fontId="10" fillId="52" borderId="64" xfId="77" applyNumberFormat="1" applyFont="1" applyFill="1" applyBorder="1" applyAlignment="1" applyProtection="1">
      <alignment horizontal="right" indent="1"/>
    </xf>
    <xf numFmtId="175" fontId="10" fillId="52" borderId="66" xfId="85" applyNumberFormat="1" applyFont="1" applyFill="1" applyBorder="1" applyAlignment="1">
      <alignment horizontal="center"/>
    </xf>
    <xf numFmtId="10" fontId="10" fillId="52" borderId="67" xfId="77" applyNumberFormat="1" applyFont="1" applyFill="1" applyBorder="1" applyAlignment="1" applyProtection="1">
      <alignment horizontal="right" indent="1"/>
    </xf>
    <xf numFmtId="175" fontId="10" fillId="52" borderId="59" xfId="85" applyNumberFormat="1" applyFont="1" applyFill="1" applyBorder="1" applyAlignment="1">
      <alignment horizontal="center"/>
    </xf>
    <xf numFmtId="175" fontId="10" fillId="52" borderId="60" xfId="85" applyNumberFormat="1" applyFont="1" applyFill="1" applyBorder="1"/>
    <xf numFmtId="175" fontId="10" fillId="52" borderId="60" xfId="85" applyNumberFormat="1" applyFont="1" applyFill="1" applyBorder="1" applyAlignment="1">
      <alignment horizontal="left" indent="1"/>
    </xf>
    <xf numFmtId="175" fontId="10" fillId="52" borderId="60" xfId="85" applyNumberFormat="1" applyFont="1" applyFill="1" applyBorder="1" applyAlignment="1">
      <alignment horizontal="right" indent="1"/>
    </xf>
    <xf numFmtId="175" fontId="10" fillId="52" borderId="85" xfId="85" applyNumberFormat="1" applyFont="1" applyFill="1" applyBorder="1" applyAlignment="1">
      <alignment horizontal="center"/>
    </xf>
    <xf numFmtId="175" fontId="10" fillId="52" borderId="85" xfId="85" applyNumberFormat="1" applyFont="1" applyFill="1" applyBorder="1"/>
    <xf numFmtId="175" fontId="10" fillId="52" borderId="85" xfId="85" applyNumberFormat="1" applyFont="1" applyFill="1" applyBorder="1" applyAlignment="1">
      <alignment horizontal="left" indent="1"/>
    </xf>
    <xf numFmtId="175" fontId="10" fillId="52" borderId="85" xfId="85" applyNumberFormat="1" applyFont="1" applyFill="1" applyBorder="1" applyAlignment="1">
      <alignment horizontal="right" indent="1"/>
    </xf>
    <xf numFmtId="175" fontId="10" fillId="52" borderId="63" xfId="85" applyNumberFormat="1" applyFont="1" applyFill="1" applyBorder="1"/>
    <xf numFmtId="175" fontId="10" fillId="52" borderId="63" xfId="85" applyNumberFormat="1" applyFont="1" applyFill="1" applyBorder="1" applyAlignment="1">
      <alignment horizontal="left" indent="1"/>
    </xf>
    <xf numFmtId="175" fontId="10" fillId="52" borderId="63" xfId="85" applyNumberFormat="1" applyFont="1" applyFill="1" applyBorder="1" applyAlignment="1">
      <alignment horizontal="right" indent="1"/>
    </xf>
    <xf numFmtId="175" fontId="10" fillId="52" borderId="66" xfId="85" applyNumberFormat="1" applyFont="1" applyFill="1" applyBorder="1"/>
    <xf numFmtId="175" fontId="10" fillId="52" borderId="66" xfId="85" applyNumberFormat="1" applyFont="1" applyFill="1" applyBorder="1" applyAlignment="1">
      <alignment horizontal="left" indent="1"/>
    </xf>
    <xf numFmtId="172" fontId="10" fillId="52" borderId="65" xfId="85" applyNumberFormat="1" applyFont="1" applyFill="1" applyBorder="1"/>
    <xf numFmtId="172" fontId="10" fillId="52" borderId="66" xfId="85" applyNumberFormat="1" applyFont="1" applyFill="1" applyBorder="1"/>
    <xf numFmtId="172" fontId="10" fillId="52" borderId="95" xfId="85" applyNumberFormat="1" applyFont="1" applyFill="1" applyBorder="1"/>
    <xf numFmtId="172" fontId="10" fillId="52" borderId="120" xfId="85" applyNumberFormat="1" applyFont="1" applyFill="1" applyBorder="1"/>
    <xf numFmtId="172" fontId="10" fillId="52" borderId="59" xfId="85" applyNumberFormat="1" applyFont="1" applyFill="1" applyBorder="1"/>
    <xf numFmtId="172" fontId="10" fillId="52" borderId="60" xfId="85" applyNumberFormat="1" applyFont="1" applyFill="1" applyBorder="1"/>
    <xf numFmtId="172" fontId="10" fillId="52" borderId="99" xfId="85" applyNumberFormat="1" applyFont="1" applyFill="1" applyBorder="1"/>
    <xf numFmtId="172" fontId="10" fillId="52" borderId="118" xfId="85" applyNumberFormat="1" applyFont="1" applyFill="1" applyBorder="1"/>
    <xf numFmtId="172" fontId="10" fillId="52" borderId="62" xfId="85" applyNumberFormat="1" applyFont="1" applyFill="1" applyBorder="1"/>
    <xf numFmtId="172" fontId="10" fillId="52" borderId="63" xfId="85" applyNumberFormat="1" applyFont="1" applyFill="1" applyBorder="1"/>
    <xf numFmtId="172" fontId="10" fillId="52" borderId="97" xfId="85" applyNumberFormat="1" applyFont="1" applyFill="1" applyBorder="1"/>
    <xf numFmtId="172" fontId="10" fillId="52" borderId="119" xfId="85" applyNumberFormat="1" applyFont="1" applyFill="1" applyBorder="1"/>
    <xf numFmtId="172" fontId="10" fillId="52" borderId="68" xfId="85" applyNumberFormat="1" applyFont="1" applyFill="1" applyBorder="1"/>
    <xf numFmtId="172" fontId="10" fillId="52" borderId="69" xfId="85" applyNumberFormat="1" applyFont="1" applyFill="1" applyBorder="1"/>
    <xf numFmtId="172" fontId="10" fillId="52" borderId="116" xfId="85" applyNumberFormat="1" applyFont="1" applyFill="1" applyBorder="1"/>
    <xf numFmtId="172" fontId="10" fillId="52" borderId="123" xfId="85" applyNumberFormat="1" applyFont="1" applyFill="1" applyBorder="1"/>
    <xf numFmtId="170" fontId="10" fillId="51" borderId="71" xfId="1" applyNumberFormat="1" applyFont="1" applyFill="1" applyBorder="1" applyProtection="1"/>
    <xf numFmtId="170" fontId="10" fillId="51" borderId="72" xfId="1" applyNumberFormat="1" applyFont="1" applyFill="1" applyBorder="1" applyProtection="1"/>
    <xf numFmtId="0" fontId="10" fillId="42" borderId="0" xfId="0" applyFont="1" applyFill="1" applyAlignment="1">
      <alignment horizontal="left" vertical="center" indent="1"/>
    </xf>
    <xf numFmtId="172" fontId="10" fillId="42" borderId="0" xfId="2" applyNumberFormat="1" applyFont="1" applyFill="1" applyBorder="1" applyAlignment="1">
      <alignment horizontal="right" vertical="center"/>
    </xf>
    <xf numFmtId="0" fontId="277" fillId="47" borderId="0" xfId="90" applyFont="1" applyFill="1" applyAlignment="1">
      <alignment horizontal="left"/>
    </xf>
    <xf numFmtId="0" fontId="276" fillId="47" borderId="0" xfId="0" applyFont="1" applyFill="1"/>
    <xf numFmtId="0" fontId="278" fillId="47" borderId="0" xfId="92" applyFont="1" applyFill="1" applyAlignment="1">
      <alignment wrapText="1"/>
    </xf>
    <xf numFmtId="0" fontId="276" fillId="47" borderId="0" xfId="0" applyFont="1" applyFill="1" applyAlignment="1">
      <alignment wrapText="1"/>
    </xf>
    <xf numFmtId="0" fontId="276" fillId="47" borderId="0" xfId="0" applyFont="1" applyFill="1" applyAlignment="1">
      <alignment horizontal="left" indent="1"/>
    </xf>
    <xf numFmtId="0" fontId="277" fillId="47" borderId="10" xfId="90" applyFont="1" applyFill="1" applyBorder="1" applyAlignment="1">
      <alignment horizontal="left"/>
    </xf>
    <xf numFmtId="0" fontId="276" fillId="47" borderId="11" xfId="0" applyFont="1" applyFill="1" applyBorder="1" applyAlignment="1">
      <alignment wrapText="1"/>
    </xf>
    <xf numFmtId="0" fontId="276" fillId="47" borderId="91" xfId="0" applyFont="1" applyFill="1" applyBorder="1" applyAlignment="1">
      <alignment wrapText="1"/>
    </xf>
    <xf numFmtId="0" fontId="277" fillId="47" borderId="0" xfId="90" applyFont="1" applyFill="1" applyAlignment="1">
      <alignment horizontal="left" indent="1"/>
    </xf>
    <xf numFmtId="0" fontId="280" fillId="47" borderId="0" xfId="90" applyFont="1" applyFill="1" applyAlignment="1">
      <alignment horizontal="left"/>
    </xf>
    <xf numFmtId="0" fontId="0" fillId="42" borderId="85" xfId="0" applyFill="1" applyBorder="1" applyAlignment="1">
      <alignment horizontal="left" vertical="top" wrapText="1" indent="1"/>
    </xf>
    <xf numFmtId="0" fontId="0" fillId="42" borderId="85" xfId="0" applyFill="1" applyBorder="1" applyAlignment="1">
      <alignment horizontal="left" vertical="top" wrapText="1"/>
    </xf>
    <xf numFmtId="2" fontId="10" fillId="3" borderId="63" xfId="85" applyNumberFormat="1" applyFont="1" applyFill="1" applyBorder="1" applyAlignment="1" applyProtection="1">
      <alignment horizontal="center"/>
      <protection locked="0"/>
    </xf>
    <xf numFmtId="10" fontId="0" fillId="0" borderId="0" xfId="77" applyNumberFormat="1" applyFont="1"/>
    <xf numFmtId="351" fontId="0" fillId="0" borderId="0" xfId="0" applyNumberFormat="1"/>
    <xf numFmtId="172" fontId="0" fillId="133" borderId="59" xfId="0" applyNumberFormat="1" applyFill="1" applyBorder="1" applyAlignment="1">
      <alignment horizontal="right" vertical="top"/>
    </xf>
    <xf numFmtId="172"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103" xfId="89" applyNumberFormat="1" applyFont="1" applyBorder="1" applyAlignment="1">
      <alignment horizontal="left" indent="1"/>
    </xf>
    <xf numFmtId="349"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0" fillId="0" borderId="101"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4" borderId="0" xfId="7" applyNumberFormat="1" applyFont="1" applyFill="1" applyAlignment="1">
      <alignment horizontal="center"/>
    </xf>
    <xf numFmtId="0" fontId="10" fillId="134" borderId="0" xfId="7" applyFont="1" applyFill="1" applyAlignment="1">
      <alignment horizontal="center"/>
    </xf>
    <xf numFmtId="173" fontId="10" fillId="134" borderId="0" xfId="7" applyNumberFormat="1" applyFont="1" applyFill="1" applyAlignment="1">
      <alignment horizontal="center"/>
    </xf>
    <xf numFmtId="9" fontId="0" fillId="134" borderId="0" xfId="0" applyNumberFormat="1" applyFill="1" applyAlignment="1">
      <alignment horizontal="center"/>
    </xf>
    <xf numFmtId="178"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0" fontId="10" fillId="38" borderId="59" xfId="77" applyNumberFormat="1" applyFont="1" applyFill="1" applyBorder="1"/>
    <xf numFmtId="168" fontId="36" fillId="0" borderId="0" xfId="0" applyNumberFormat="1" applyFont="1" applyAlignment="1">
      <alignment vertical="center"/>
    </xf>
    <xf numFmtId="0" fontId="0" fillId="134" borderId="0" xfId="0" applyFill="1"/>
    <xf numFmtId="0" fontId="282" fillId="0" borderId="0" xfId="0" applyFont="1" applyAlignment="1">
      <alignment horizontal="left"/>
    </xf>
    <xf numFmtId="0" fontId="0" fillId="0" borderId="138" xfId="0" applyBorder="1"/>
    <xf numFmtId="0" fontId="0" fillId="134" borderId="138" xfId="0" applyFill="1" applyBorder="1"/>
    <xf numFmtId="173" fontId="0" fillId="52" borderId="60" xfId="0" applyNumberFormat="1" applyFill="1" applyBorder="1" applyAlignment="1">
      <alignment horizontal="right" vertical="top"/>
    </xf>
    <xf numFmtId="0" fontId="0" fillId="3" borderId="0" xfId="0" applyFill="1"/>
    <xf numFmtId="172" fontId="10" fillId="133" borderId="60" xfId="2" applyNumberFormat="1" applyFont="1" applyFill="1" applyBorder="1"/>
    <xf numFmtId="0" fontId="10" fillId="0" borderId="0" xfId="0" applyFont="1"/>
    <xf numFmtId="351" fontId="10" fillId="0" borderId="0" xfId="0" applyNumberFormat="1" applyFont="1"/>
    <xf numFmtId="0" fontId="11" fillId="0" borderId="0" xfId="7" applyFont="1" applyAlignment="1">
      <alignment horizontal="center" vertical="center" wrapText="1"/>
    </xf>
    <xf numFmtId="0" fontId="261"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65" fontId="0" fillId="0" borderId="0" xfId="1" applyNumberFormat="1" applyFont="1" applyFill="1" applyBorder="1" applyAlignment="1">
      <alignment horizontal="right" vertical="top"/>
    </xf>
    <xf numFmtId="0" fontId="0" fillId="0" borderId="0" xfId="0" quotePrefix="1"/>
    <xf numFmtId="172" fontId="11" fillId="0" borderId="0" xfId="2" applyNumberFormat="1" applyFont="1" applyFill="1" applyBorder="1"/>
    <xf numFmtId="10" fontId="0" fillId="0" borderId="99" xfId="0" applyNumberFormat="1" applyBorder="1"/>
    <xf numFmtId="10" fontId="0" fillId="0" borderId="61" xfId="0" applyNumberFormat="1" applyBorder="1"/>
    <xf numFmtId="10" fontId="0" fillId="0" borderId="97" xfId="0" applyNumberFormat="1" applyBorder="1"/>
    <xf numFmtId="0" fontId="26" fillId="0" borderId="79" xfId="0" applyFont="1" applyBorder="1" applyAlignment="1">
      <alignment horizontal="left" indent="1"/>
    </xf>
    <xf numFmtId="0" fontId="0" fillId="0" borderId="80" xfId="0" applyBorder="1" applyAlignment="1">
      <alignment horizontal="left" indent="1"/>
    </xf>
    <xf numFmtId="0" fontId="0" fillId="0" borderId="127" xfId="0" applyBorder="1" applyAlignment="1">
      <alignment horizontal="left" indent="1"/>
    </xf>
    <xf numFmtId="0" fontId="0" fillId="0" borderId="81" xfId="0" applyBorder="1" applyAlignment="1">
      <alignment horizontal="left" indent="1"/>
    </xf>
    <xf numFmtId="0" fontId="0" fillId="0" borderId="79"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90" xfId="0" applyFill="1" applyBorder="1" applyAlignment="1">
      <alignment horizontal="left" indent="1"/>
    </xf>
    <xf numFmtId="0" fontId="0" fillId="3" borderId="91" xfId="0" applyFill="1" applyBorder="1"/>
    <xf numFmtId="0" fontId="0" fillId="135" borderId="0" xfId="0" applyFill="1" applyAlignment="1">
      <alignment horizontal="center" vertical="center"/>
    </xf>
    <xf numFmtId="0" fontId="8" fillId="135" borderId="0" xfId="0" applyFont="1" applyFill="1" applyAlignment="1">
      <alignment horizontal="left" vertical="top" indent="1"/>
    </xf>
    <xf numFmtId="178" fontId="0" fillId="0" borderId="0" xfId="0" applyNumberFormat="1"/>
    <xf numFmtId="0" fontId="36" fillId="0" borderId="0" xfId="0" applyFont="1"/>
    <xf numFmtId="0" fontId="0" fillId="0" borderId="0" xfId="0" applyAlignment="1" applyProtection="1">
      <alignment horizontal="center"/>
      <protection locked="0"/>
    </xf>
    <xf numFmtId="0" fontId="8" fillId="135" borderId="0" xfId="0" applyFont="1" applyFill="1" applyAlignment="1">
      <alignment horizontal="left" vertical="center" indent="1"/>
    </xf>
    <xf numFmtId="0" fontId="0" fillId="135" borderId="0" xfId="0" applyFill="1" applyAlignment="1">
      <alignment horizontal="left" vertical="top"/>
    </xf>
    <xf numFmtId="0" fontId="0" fillId="135" borderId="0" xfId="0" applyFill="1"/>
    <xf numFmtId="0" fontId="0" fillId="3" borderId="0" xfId="0" applyFill="1" applyAlignment="1">
      <alignment horizontal="left" vertical="top" indent="1"/>
    </xf>
    <xf numFmtId="0" fontId="10" fillId="0" borderId="0" xfId="84" applyFont="1" applyAlignment="1"/>
    <xf numFmtId="175" fontId="10" fillId="44" borderId="105" xfId="85" applyNumberFormat="1" applyFont="1" applyFill="1" applyBorder="1" applyAlignment="1">
      <alignment horizontal="left" indent="1"/>
    </xf>
    <xf numFmtId="175" fontId="10" fillId="44" borderId="84" xfId="85" applyNumberFormat="1" applyFont="1" applyFill="1" applyBorder="1" applyAlignment="1">
      <alignment horizontal="left" indent="1"/>
    </xf>
    <xf numFmtId="175" fontId="10" fillId="44" borderId="100" xfId="85" applyNumberFormat="1" applyFont="1" applyFill="1" applyBorder="1" applyAlignment="1">
      <alignment horizontal="left" indent="1"/>
    </xf>
    <xf numFmtId="0" fontId="10" fillId="51" borderId="99" xfId="85" applyFont="1" applyFill="1" applyBorder="1" applyAlignment="1" applyProtection="1">
      <alignment horizontal="left" indent="1"/>
      <protection locked="0"/>
    </xf>
    <xf numFmtId="0" fontId="10" fillId="51" borderId="84" xfId="85" applyFont="1" applyFill="1" applyBorder="1" applyAlignment="1" applyProtection="1">
      <alignment horizontal="left" indent="1"/>
      <protection locked="0"/>
    </xf>
    <xf numFmtId="0" fontId="10" fillId="51" borderId="100" xfId="85" applyFont="1" applyFill="1" applyBorder="1" applyAlignment="1" applyProtection="1">
      <alignment horizontal="left" indent="1"/>
      <protection locked="0"/>
    </xf>
    <xf numFmtId="0" fontId="11" fillId="0" borderId="0" xfId="85" applyFont="1" applyAlignment="1">
      <alignment horizontal="left" vertical="center" wrapText="1"/>
    </xf>
    <xf numFmtId="0" fontId="10" fillId="0" borderId="0" xfId="85" applyFont="1" applyAlignment="1">
      <alignment horizontal="left" vertical="center" wrapText="1"/>
    </xf>
    <xf numFmtId="0" fontId="11" fillId="0" borderId="84" xfId="85" applyFont="1" applyBorder="1" applyAlignment="1">
      <alignment horizontal="left" indent="1"/>
    </xf>
    <xf numFmtId="0" fontId="11" fillId="0" borderId="100" xfId="85" applyFont="1" applyBorder="1" applyAlignment="1">
      <alignment horizontal="left" indent="1"/>
    </xf>
    <xf numFmtId="0" fontId="10" fillId="0" borderId="90" xfId="7" applyFont="1" applyBorder="1" applyAlignment="1">
      <alignment horizontal="left" vertical="center" wrapText="1" indent="1"/>
    </xf>
    <xf numFmtId="173" fontId="0" fillId="119" borderId="59" xfId="0" applyNumberFormat="1" applyFill="1" applyBorder="1" applyAlignment="1">
      <alignment horizontal="right" indent="1"/>
    </xf>
    <xf numFmtId="173" fontId="0" fillId="119" borderId="60" xfId="0" applyNumberFormat="1" applyFill="1" applyBorder="1" applyAlignment="1">
      <alignment horizontal="right" indent="1"/>
    </xf>
    <xf numFmtId="173" fontId="0" fillId="119" borderId="62" xfId="0" applyNumberFormat="1" applyFill="1" applyBorder="1" applyAlignment="1">
      <alignment horizontal="right" indent="1"/>
    </xf>
    <xf numFmtId="10" fontId="0" fillId="0" borderId="103" xfId="0" applyNumberFormat="1" applyBorder="1"/>
    <xf numFmtId="173" fontId="0" fillId="119" borderId="64" xfId="0" applyNumberFormat="1" applyFill="1" applyBorder="1" applyAlignment="1">
      <alignment horizontal="right" indent="1"/>
    </xf>
    <xf numFmtId="10" fontId="0" fillId="0" borderId="101" xfId="0" applyNumberFormat="1" applyBorder="1"/>
    <xf numFmtId="10" fontId="0" fillId="0" borderId="95" xfId="0" applyNumberFormat="1" applyBorder="1"/>
    <xf numFmtId="173" fontId="0" fillId="119" borderId="66" xfId="0" applyNumberFormat="1" applyFill="1" applyBorder="1" applyAlignment="1">
      <alignment horizontal="right" indent="1"/>
    </xf>
    <xf numFmtId="173" fontId="0" fillId="119" borderId="67" xfId="0" applyNumberFormat="1" applyFill="1" applyBorder="1" applyAlignment="1">
      <alignment horizontal="right" indent="1"/>
    </xf>
    <xf numFmtId="10" fontId="0" fillId="0" borderId="105" xfId="0" applyNumberFormat="1" applyBorder="1"/>
    <xf numFmtId="0" fontId="276" fillId="47" borderId="21" xfId="0" applyFont="1" applyFill="1" applyBorder="1" applyAlignment="1">
      <alignment wrapText="1"/>
    </xf>
    <xf numFmtId="0" fontId="10" fillId="42" borderId="139" xfId="7" applyFont="1" applyFill="1" applyBorder="1" applyAlignment="1">
      <alignment horizontal="left" indent="1"/>
    </xf>
    <xf numFmtId="1" fontId="8" fillId="2" borderId="140" xfId="0" applyNumberFormat="1" applyFont="1" applyFill="1" applyBorder="1" applyAlignment="1">
      <alignment horizontal="center" vertical="center"/>
    </xf>
    <xf numFmtId="1" fontId="8" fillId="2" borderId="141" xfId="0" applyNumberFormat="1" applyFont="1" applyFill="1" applyBorder="1" applyAlignment="1">
      <alignment horizontal="center" vertical="center"/>
    </xf>
    <xf numFmtId="1" fontId="0" fillId="0" borderId="139" xfId="0" applyNumberFormat="1" applyBorder="1" applyAlignment="1">
      <alignment horizontal="left" indent="1"/>
    </xf>
    <xf numFmtId="0" fontId="0" fillId="0" borderId="143" xfId="0" applyBorder="1"/>
    <xf numFmtId="0" fontId="277" fillId="47" borderId="21" xfId="90" applyFont="1" applyFill="1" applyBorder="1" applyAlignment="1">
      <alignment horizontal="left" indent="1"/>
    </xf>
    <xf numFmtId="0" fontId="277"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76"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2" fontId="10" fillId="38" borderId="139" xfId="1" applyNumberFormat="1" applyFont="1" applyFill="1" applyBorder="1" applyProtection="1"/>
    <xf numFmtId="0" fontId="280"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0" fontId="31" fillId="47" borderId="21" xfId="75" applyFont="1" applyFill="1" applyBorder="1"/>
    <xf numFmtId="0" fontId="10" fillId="0" borderId="145" xfId="48234" applyFont="1" applyBorder="1" applyAlignment="1">
      <alignment horizontal="center" vertical="center"/>
    </xf>
    <xf numFmtId="0" fontId="10" fillId="42" borderId="140" xfId="85" applyFont="1" applyFill="1" applyBorder="1" applyAlignment="1">
      <alignment horizontal="center"/>
    </xf>
    <xf numFmtId="0" fontId="10" fillId="42" borderId="141" xfId="85" applyFont="1" applyFill="1" applyBorder="1" applyAlignment="1">
      <alignment horizontal="center"/>
    </xf>
    <xf numFmtId="0" fontId="10" fillId="42" borderId="141" xfId="85" applyFont="1" applyFill="1" applyBorder="1" applyAlignment="1">
      <alignment horizontal="center" wrapText="1"/>
    </xf>
    <xf numFmtId="0" fontId="10" fillId="42" borderId="144" xfId="85" applyFont="1" applyFill="1" applyBorder="1" applyAlignment="1">
      <alignment horizontal="center" wrapText="1"/>
    </xf>
    <xf numFmtId="0" fontId="10" fillId="0" borderId="140" xfId="85" quotePrefix="1" applyFont="1" applyBorder="1" applyAlignment="1">
      <alignment horizontal="center"/>
    </xf>
    <xf numFmtId="0" fontId="10" fillId="0" borderId="141" xfId="85" quotePrefix="1" applyFont="1" applyBorder="1" applyAlignment="1">
      <alignment horizontal="center"/>
    </xf>
    <xf numFmtId="0" fontId="10" fillId="0" borderId="142" xfId="85" quotePrefix="1" applyFont="1" applyBorder="1" applyAlignment="1">
      <alignment horizontal="center"/>
    </xf>
    <xf numFmtId="0" fontId="10" fillId="0" borderId="146" xfId="85" quotePrefix="1" applyFont="1" applyBorder="1" applyAlignment="1">
      <alignment horizontal="center"/>
    </xf>
    <xf numFmtId="175" fontId="10" fillId="42" borderId="140" xfId="85" applyNumberFormat="1" applyFont="1" applyFill="1" applyBorder="1" applyAlignment="1">
      <alignment horizontal="center"/>
    </xf>
    <xf numFmtId="175" fontId="10" fillId="42" borderId="141" xfId="85" applyNumberFormat="1" applyFont="1" applyFill="1" applyBorder="1" applyAlignment="1">
      <alignment horizontal="center"/>
    </xf>
    <xf numFmtId="175" fontId="10" fillId="42" borderId="141" xfId="85" applyNumberFormat="1" applyFont="1" applyFill="1" applyBorder="1" applyAlignment="1">
      <alignment horizontal="center" wrapText="1"/>
    </xf>
    <xf numFmtId="175" fontId="10" fillId="42" borderId="144" xfId="85" applyNumberFormat="1" applyFont="1" applyFill="1" applyBorder="1" applyAlignment="1">
      <alignment horizontal="center" wrapText="1"/>
    </xf>
    <xf numFmtId="175" fontId="10" fillId="42" borderId="140" xfId="85" applyNumberFormat="1" applyFont="1" applyFill="1" applyBorder="1" applyAlignment="1">
      <alignment horizontal="center" wrapText="1"/>
    </xf>
    <xf numFmtId="0" fontId="10" fillId="0" borderId="141" xfId="85" applyFont="1" applyBorder="1" applyAlignment="1">
      <alignment horizontal="center"/>
    </xf>
    <xf numFmtId="0" fontId="10" fillId="0" borderId="21" xfId="85" applyFont="1" applyBorder="1" applyAlignment="1">
      <alignment horizontal="center"/>
    </xf>
    <xf numFmtId="0" fontId="11" fillId="0" borderId="140" xfId="84" applyFont="1" applyBorder="1" applyAlignment="1">
      <alignment horizontal="left"/>
    </xf>
    <xf numFmtId="0" fontId="10" fillId="0" borderId="140" xfId="84" applyFont="1" applyBorder="1" applyAlignment="1">
      <alignment horizontal="left"/>
    </xf>
    <xf numFmtId="0" fontId="10" fillId="0" borderId="140" xfId="84" applyFont="1" applyBorder="1" applyAlignment="1">
      <alignment horizontal="left" indent="1"/>
    </xf>
    <xf numFmtId="167" fontId="7" fillId="43" borderId="26" xfId="48236">
      <alignment vertical="center"/>
    </xf>
    <xf numFmtId="167" fontId="10" fillId="44" borderId="139" xfId="85" applyNumberFormat="1" applyFont="1" applyFill="1" applyBorder="1"/>
    <xf numFmtId="9" fontId="0" fillId="51" borderId="140" xfId="1" applyNumberFormat="1" applyFont="1" applyFill="1" applyBorder="1" applyAlignment="1">
      <alignment horizontal="right"/>
    </xf>
    <xf numFmtId="9" fontId="0" fillId="51" borderId="141" xfId="1" applyNumberFormat="1" applyFont="1" applyFill="1" applyBorder="1" applyAlignment="1">
      <alignment horizontal="right"/>
    </xf>
    <xf numFmtId="0" fontId="0" fillId="0" borderId="139" xfId="0" applyBorder="1" applyAlignment="1">
      <alignment horizontal="center" vertical="top"/>
    </xf>
    <xf numFmtId="0" fontId="0" fillId="0" borderId="143" xfId="0" applyBorder="1" applyAlignment="1">
      <alignment horizontal="center" vertical="top"/>
    </xf>
    <xf numFmtId="0" fontId="10" fillId="0" borderId="140" xfId="85" applyFont="1" applyBorder="1" applyAlignment="1">
      <alignment horizontal="center" vertical="center"/>
    </xf>
    <xf numFmtId="0" fontId="10" fillId="0" borderId="141" xfId="85" applyFont="1" applyBorder="1" applyAlignment="1">
      <alignment horizontal="center" wrapText="1"/>
    </xf>
    <xf numFmtId="0" fontId="10" fillId="0" borderId="144" xfId="85" applyFont="1" applyBorder="1" applyAlignment="1">
      <alignment horizontal="center" wrapText="1"/>
    </xf>
    <xf numFmtId="0" fontId="10" fillId="0" borderId="140" xfId="85" applyFont="1" applyBorder="1" applyAlignment="1">
      <alignment horizontal="left" indent="1"/>
    </xf>
    <xf numFmtId="0" fontId="10" fillId="0" borderId="142" xfId="85" applyFont="1" applyBorder="1"/>
    <xf numFmtId="0" fontId="10" fillId="0" borderId="21" xfId="85" applyFont="1" applyBorder="1"/>
    <xf numFmtId="0" fontId="10" fillId="0" borderId="139" xfId="85" applyFont="1" applyBorder="1"/>
    <xf numFmtId="0" fontId="10" fillId="0" borderId="144" xfId="85" applyFont="1" applyBorder="1" applyAlignment="1">
      <alignment horizontal="center"/>
    </xf>
    <xf numFmtId="0" fontId="30" fillId="47" borderId="21" xfId="90" applyFont="1" applyFill="1" applyBorder="1" applyAlignment="1">
      <alignment horizontal="center"/>
    </xf>
    <xf numFmtId="172" fontId="11" fillId="52" borderId="140" xfId="2" applyNumberFormat="1" applyFont="1" applyFill="1" applyBorder="1"/>
    <xf numFmtId="172" fontId="10" fillId="38" borderId="140" xfId="1" applyNumberFormat="1" applyFont="1" applyFill="1" applyBorder="1" applyProtection="1"/>
    <xf numFmtId="172" fontId="10" fillId="38" borderId="141" xfId="1" applyNumberFormat="1" applyFont="1" applyFill="1" applyBorder="1" applyProtection="1"/>
    <xf numFmtId="10" fontId="0" fillId="119" borderId="63" xfId="77" applyNumberFormat="1" applyFont="1" applyFill="1" applyBorder="1" applyAlignment="1">
      <alignment horizontal="right" indent="1"/>
    </xf>
    <xf numFmtId="172"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6"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43" xfId="0" applyNumberFormat="1" applyBorder="1" applyAlignment="1">
      <alignment horizontal="center" vertical="center" wrapText="1"/>
    </xf>
    <xf numFmtId="0" fontId="0" fillId="0" borderId="98" xfId="0" applyBorder="1" applyAlignment="1">
      <alignment horizontal="left" vertical="center" wrapText="1" indent="1"/>
    </xf>
    <xf numFmtId="172" fontId="0" fillId="133" borderId="63" xfId="0" applyNumberFormat="1" applyFill="1" applyBorder="1" applyAlignment="1">
      <alignment horizontal="right" vertical="top"/>
    </xf>
    <xf numFmtId="172" fontId="10" fillId="52" borderId="106" xfId="2" applyNumberFormat="1" applyFont="1" applyFill="1" applyBorder="1" applyAlignment="1">
      <alignment vertical="top"/>
    </xf>
    <xf numFmtId="172" fontId="10" fillId="52" borderId="127" xfId="2" applyNumberFormat="1" applyFont="1" applyFill="1" applyBorder="1" applyAlignment="1">
      <alignment vertical="top"/>
    </xf>
    <xf numFmtId="0" fontId="0" fillId="0" borderId="0" xfId="0" applyAlignment="1">
      <alignment vertical="top"/>
    </xf>
    <xf numFmtId="0" fontId="251" fillId="48" borderId="0" xfId="78" applyFont="1" applyFill="1" applyProtection="1">
      <protection locked="0"/>
    </xf>
    <xf numFmtId="0" fontId="250" fillId="48" borderId="0" xfId="79" applyFont="1" applyFill="1" applyAlignment="1">
      <alignment horizontal="left"/>
    </xf>
    <xf numFmtId="0" fontId="252" fillId="48" borderId="0" xfId="78" applyFont="1" applyFill="1" applyProtection="1">
      <protection locked="0"/>
    </xf>
    <xf numFmtId="0" fontId="250" fillId="48" borderId="0" xfId="78" applyFont="1" applyFill="1" applyAlignment="1" applyProtection="1">
      <alignment horizontal="left"/>
      <protection locked="0"/>
    </xf>
    <xf numFmtId="172" fontId="11" fillId="52" borderId="59" xfId="2" applyNumberFormat="1" applyFont="1" applyFill="1" applyBorder="1"/>
    <xf numFmtId="172" fontId="11" fillId="52" borderId="60" xfId="2" applyNumberFormat="1" applyFont="1" applyFill="1" applyBorder="1"/>
    <xf numFmtId="178" fontId="10" fillId="52" borderId="6" xfId="7" applyNumberFormat="1" applyFont="1" applyFill="1" applyBorder="1" applyAlignment="1">
      <alignment horizontal="center" vertical="center"/>
    </xf>
    <xf numFmtId="172" fontId="10" fillId="38" borderId="77" xfId="1" applyNumberFormat="1" applyFont="1" applyFill="1" applyBorder="1" applyProtection="1"/>
    <xf numFmtId="172" fontId="11" fillId="38" borderId="147" xfId="1" applyNumberFormat="1" applyFont="1" applyFill="1" applyBorder="1" applyProtection="1"/>
    <xf numFmtId="172" fontId="11" fillId="38" borderId="148" xfId="1" applyNumberFormat="1" applyFont="1" applyFill="1" applyBorder="1" applyProtection="1"/>
    <xf numFmtId="172" fontId="11" fillId="38" borderId="149" xfId="1" applyNumberFormat="1" applyFont="1" applyFill="1" applyBorder="1" applyProtection="1"/>
    <xf numFmtId="0" fontId="0" fillId="0" borderId="150" xfId="0" applyBorder="1"/>
    <xf numFmtId="170" fontId="10" fillId="38" borderId="140" xfId="77" applyNumberFormat="1" applyFont="1" applyFill="1" applyBorder="1"/>
    <xf numFmtId="170" fontId="10" fillId="38" borderId="77" xfId="77" applyNumberFormat="1" applyFont="1" applyFill="1" applyBorder="1"/>
    <xf numFmtId="170" fontId="11" fillId="38" borderId="147" xfId="77" applyNumberFormat="1" applyFont="1" applyFill="1" applyBorder="1" applyProtection="1"/>
    <xf numFmtId="170" fontId="11" fillId="38" borderId="149" xfId="77" applyNumberFormat="1" applyFont="1" applyFill="1" applyBorder="1" applyProtection="1"/>
    <xf numFmtId="170" fontId="11" fillId="38" borderId="148" xfId="77" applyNumberFormat="1" applyFont="1" applyFill="1" applyBorder="1" applyProtection="1"/>
    <xf numFmtId="170" fontId="10" fillId="38" borderId="144" xfId="77" applyNumberFormat="1" applyFont="1" applyFill="1" applyBorder="1" applyProtection="1"/>
    <xf numFmtId="170" fontId="10" fillId="38" borderId="78" xfId="77" applyNumberFormat="1" applyFont="1" applyFill="1" applyBorder="1" applyProtection="1"/>
    <xf numFmtId="170" fontId="11" fillId="38" borderId="151" xfId="77" applyNumberFormat="1" applyFont="1" applyFill="1" applyBorder="1" applyProtection="1"/>
    <xf numFmtId="170"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84" fillId="53" borderId="0" xfId="0" applyFont="1" applyFill="1" applyAlignment="1">
      <alignment horizontal="left" vertical="top"/>
    </xf>
    <xf numFmtId="0" fontId="0" fillId="51" borderId="0" xfId="0" applyFill="1" applyAlignment="1">
      <alignment horizontal="left" vertical="top"/>
    </xf>
    <xf numFmtId="0" fontId="277" fillId="0" borderId="0" xfId="90" applyFont="1" applyAlignment="1">
      <alignment horizontal="left"/>
    </xf>
    <xf numFmtId="0" fontId="276" fillId="0" borderId="0" xfId="0" applyFont="1"/>
    <xf numFmtId="0" fontId="276" fillId="0" borderId="0" xfId="0" applyFont="1" applyAlignment="1">
      <alignment wrapText="1"/>
    </xf>
    <xf numFmtId="0" fontId="276"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2" fontId="10" fillId="52" borderId="88" xfId="1" applyNumberFormat="1" applyFont="1" applyFill="1" applyBorder="1" applyProtection="1"/>
    <xf numFmtId="172" fontId="10" fillId="52" borderId="82" xfId="1" applyNumberFormat="1" applyFont="1" applyFill="1" applyBorder="1" applyProtection="1"/>
    <xf numFmtId="172" fontId="10" fillId="52" borderId="83" xfId="1" applyNumberFormat="1" applyFont="1" applyFill="1" applyBorder="1" applyProtection="1"/>
    <xf numFmtId="3" fontId="0" fillId="0" borderId="139" xfId="0" applyNumberFormat="1" applyBorder="1" applyAlignment="1">
      <alignment horizontal="center" vertical="center" wrapText="1"/>
    </xf>
    <xf numFmtId="0" fontId="0" fillId="0" borderId="103" xfId="0" applyBorder="1" applyAlignment="1">
      <alignment horizontal="left" vertical="center" wrapText="1" indent="1"/>
    </xf>
    <xf numFmtId="179" fontId="10" fillId="3" borderId="0" xfId="0" applyNumberFormat="1" applyFont="1" applyFill="1" applyAlignment="1" applyProtection="1">
      <alignment horizontal="left" vertical="center" indent="1"/>
      <protection locked="0"/>
    </xf>
    <xf numFmtId="0" fontId="282" fillId="0" borderId="0" xfId="0" applyFont="1" applyAlignment="1">
      <alignment horizontal="left" vertical="top"/>
    </xf>
    <xf numFmtId="0" fontId="285" fillId="0" borderId="0" xfId="0" applyFont="1"/>
    <xf numFmtId="10" fontId="0" fillId="0" borderId="0" xfId="0" applyNumberFormat="1"/>
    <xf numFmtId="173" fontId="0" fillId="0" borderId="150" xfId="0" applyNumberFormat="1" applyBorder="1" applyAlignment="1">
      <alignment horizontal="right" indent="1"/>
    </xf>
    <xf numFmtId="173" fontId="0" fillId="119" borderId="87" xfId="0" applyNumberFormat="1" applyFill="1" applyBorder="1" applyAlignment="1">
      <alignment horizontal="right" indent="1"/>
    </xf>
    <xf numFmtId="173" fontId="0" fillId="119" borderId="152" xfId="0" applyNumberFormat="1" applyFill="1" applyBorder="1" applyAlignment="1">
      <alignment horizontal="right" indent="1"/>
    </xf>
    <xf numFmtId="10" fontId="0" fillId="119" borderId="153" xfId="77" applyNumberFormat="1" applyFont="1" applyFill="1" applyBorder="1" applyAlignment="1">
      <alignment horizontal="right" indent="1"/>
    </xf>
    <xf numFmtId="173" fontId="0" fillId="119" borderId="154" xfId="0" applyNumberFormat="1" applyFill="1" applyBorder="1" applyAlignment="1">
      <alignment horizontal="right" indent="1"/>
    </xf>
    <xf numFmtId="10" fontId="0" fillId="0" borderId="155" xfId="0" applyNumberFormat="1" applyBorder="1"/>
    <xf numFmtId="173" fontId="0" fillId="119" borderId="153" xfId="0" applyNumberFormat="1" applyFill="1" applyBorder="1" applyAlignment="1">
      <alignment horizontal="right" indent="1"/>
    </xf>
    <xf numFmtId="10" fontId="0" fillId="0" borderId="156" xfId="0" applyNumberFormat="1" applyBorder="1"/>
    <xf numFmtId="10" fontId="0" fillId="0" borderId="157" xfId="0" applyNumberFormat="1" applyBorder="1"/>
    <xf numFmtId="173" fontId="0" fillId="119" borderId="158" xfId="0" applyNumberFormat="1" applyFill="1" applyBorder="1" applyAlignment="1">
      <alignment horizontal="right" indent="1"/>
    </xf>
    <xf numFmtId="173" fontId="0" fillId="119" borderId="159" xfId="0" applyNumberFormat="1" applyFill="1" applyBorder="1" applyAlignment="1">
      <alignment horizontal="right" indent="1"/>
    </xf>
    <xf numFmtId="1" fontId="8" fillId="53" borderId="160" xfId="0" applyNumberFormat="1" applyFont="1" applyFill="1" applyBorder="1" applyAlignment="1">
      <alignment horizontal="center" vertical="center"/>
    </xf>
    <xf numFmtId="1" fontId="8" fillId="53" borderId="161" xfId="0" applyNumberFormat="1" applyFont="1" applyFill="1" applyBorder="1" applyAlignment="1">
      <alignment horizontal="center" vertical="center"/>
    </xf>
    <xf numFmtId="1" fontId="8" fillId="53" borderId="162" xfId="0" applyNumberFormat="1" applyFont="1" applyFill="1" applyBorder="1" applyAlignment="1">
      <alignment horizontal="center" vertical="center"/>
    </xf>
    <xf numFmtId="1" fontId="8" fillId="53" borderId="163" xfId="0" applyNumberFormat="1" applyFont="1" applyFill="1" applyBorder="1" applyAlignment="1">
      <alignment horizontal="center" vertical="center"/>
    </xf>
    <xf numFmtId="173" fontId="0" fillId="119" borderId="167" xfId="0" applyNumberFormat="1" applyFill="1" applyBorder="1" applyAlignment="1">
      <alignment horizontal="right" indent="1"/>
    </xf>
    <xf numFmtId="173" fontId="0" fillId="119" borderId="168" xfId="0" applyNumberFormat="1" applyFill="1" applyBorder="1" applyAlignment="1">
      <alignment horizontal="right" indent="1"/>
    </xf>
    <xf numFmtId="10" fontId="0" fillId="0" borderId="169" xfId="0" applyNumberFormat="1" applyBorder="1"/>
    <xf numFmtId="10" fontId="0" fillId="119" borderId="168" xfId="77" applyNumberFormat="1" applyFont="1" applyFill="1" applyBorder="1" applyAlignment="1">
      <alignment horizontal="right" indent="1"/>
    </xf>
    <xf numFmtId="10" fontId="0" fillId="119" borderId="170" xfId="77" applyNumberFormat="1" applyFont="1" applyFill="1" applyBorder="1" applyAlignment="1">
      <alignment horizontal="right" indent="1"/>
    </xf>
    <xf numFmtId="3" fontId="10" fillId="0" borderId="167" xfId="89" applyNumberFormat="1" applyFont="1" applyBorder="1" applyAlignment="1">
      <alignment horizontal="left" indent="1"/>
    </xf>
    <xf numFmtId="0" fontId="0" fillId="0" borderId="168" xfId="0" applyBorder="1" applyAlignment="1">
      <alignment horizontal="center"/>
    </xf>
    <xf numFmtId="0" fontId="0" fillId="0" borderId="171" xfId="0" applyBorder="1" applyAlignment="1">
      <alignment horizontal="center"/>
    </xf>
    <xf numFmtId="0" fontId="0" fillId="0" borderId="172" xfId="0" applyBorder="1" applyAlignment="1">
      <alignment horizontal="center" vertical="center"/>
    </xf>
    <xf numFmtId="3" fontId="10" fillId="0" borderId="154" xfId="89" applyNumberFormat="1" applyFont="1" applyBorder="1" applyAlignment="1">
      <alignment horizontal="left" indent="1"/>
    </xf>
    <xf numFmtId="0" fontId="0" fillId="0" borderId="173" xfId="0" applyBorder="1" applyAlignment="1">
      <alignment horizontal="center" vertical="center"/>
    </xf>
    <xf numFmtId="3" fontId="10" fillId="0" borderId="174" xfId="89" applyNumberFormat="1" applyFont="1" applyBorder="1" applyAlignment="1">
      <alignment horizontal="left" indent="1"/>
    </xf>
    <xf numFmtId="0" fontId="0" fillId="0" borderId="158" xfId="0" applyBorder="1" applyAlignment="1">
      <alignment horizontal="center"/>
    </xf>
    <xf numFmtId="0" fontId="0" fillId="0" borderId="175" xfId="0" applyBorder="1" applyAlignment="1">
      <alignment horizontal="center"/>
    </xf>
    <xf numFmtId="0" fontId="0" fillId="0" borderId="176" xfId="0" applyBorder="1" applyAlignment="1">
      <alignment horizontal="center" vertical="center"/>
    </xf>
    <xf numFmtId="0" fontId="10" fillId="0" borderId="160" xfId="7" applyFont="1" applyBorder="1" applyAlignment="1">
      <alignment horizontal="left" indent="1"/>
    </xf>
    <xf numFmtId="10" fontId="0" fillId="0" borderId="177" xfId="0" applyNumberFormat="1" applyBorder="1"/>
    <xf numFmtId="0" fontId="0" fillId="0" borderId="162" xfId="0" applyBorder="1"/>
    <xf numFmtId="0" fontId="0" fillId="0" borderId="178" xfId="0" applyBorder="1"/>
    <xf numFmtId="0" fontId="0" fillId="0" borderId="163" xfId="0" applyBorder="1"/>
    <xf numFmtId="0" fontId="0" fillId="0" borderId="179" xfId="0" applyBorder="1" applyAlignment="1">
      <alignment horizontal="center" vertical="center" wrapText="1"/>
    </xf>
    <xf numFmtId="0" fontId="10" fillId="0" borderId="180"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86" fillId="0" borderId="0" xfId="0" applyFont="1" applyAlignment="1">
      <alignment horizontal="left" vertical="top"/>
    </xf>
    <xf numFmtId="165" fontId="8" fillId="51" borderId="59" xfId="1" applyNumberFormat="1" applyFont="1" applyFill="1" applyBorder="1" applyAlignment="1">
      <alignment horizontal="right" vertical="top"/>
    </xf>
    <xf numFmtId="172" fontId="0" fillId="51" borderId="59" xfId="0" applyNumberFormat="1" applyFill="1" applyBorder="1" applyAlignment="1">
      <alignment horizontal="right" vertical="top"/>
    </xf>
    <xf numFmtId="165" fontId="11" fillId="0" borderId="0" xfId="1" applyNumberFormat="1" applyFont="1" applyFill="1" applyBorder="1"/>
    <xf numFmtId="173" fontId="288" fillId="0" borderId="0" xfId="75" applyNumberFormat="1" applyFont="1" applyAlignment="1">
      <alignment horizontal="center"/>
    </xf>
    <xf numFmtId="173" fontId="288" fillId="0" borderId="150" xfId="75" applyNumberFormat="1" applyFont="1" applyBorder="1" applyAlignment="1">
      <alignment horizontal="center"/>
    </xf>
    <xf numFmtId="173" fontId="288" fillId="36" borderId="6" xfId="75" applyNumberFormat="1" applyFont="1" applyFill="1" applyBorder="1" applyAlignment="1">
      <alignment horizontal="center" vertical="center"/>
    </xf>
    <xf numFmtId="173" fontId="288" fillId="0" borderId="10" xfId="75" applyNumberFormat="1" applyFont="1" applyBorder="1" applyAlignment="1">
      <alignment horizontal="center" vertical="center"/>
    </xf>
    <xf numFmtId="173" fontId="288" fillId="0" borderId="0" xfId="75" applyNumberFormat="1" applyFont="1" applyAlignment="1">
      <alignment horizontal="center" vertical="center"/>
    </xf>
    <xf numFmtId="0" fontId="0" fillId="0" borderId="0" xfId="0" applyAlignment="1" applyProtection="1">
      <alignment horizontal="left" vertical="center"/>
      <protection locked="0"/>
    </xf>
    <xf numFmtId="175" fontId="277" fillId="47" borderId="0" xfId="90" applyNumberFormat="1" applyFont="1" applyFill="1" applyAlignment="1">
      <alignment horizontal="left"/>
    </xf>
    <xf numFmtId="354" fontId="10" fillId="134" borderId="0" xfId="7" applyNumberFormat="1" applyFont="1" applyFill="1" applyAlignment="1">
      <alignment horizontal="center"/>
    </xf>
    <xf numFmtId="352" fontId="0" fillId="52" borderId="59" xfId="0" applyNumberFormat="1" applyFill="1" applyBorder="1" applyAlignment="1">
      <alignment horizontal="right" vertical="top"/>
    </xf>
    <xf numFmtId="0" fontId="34" fillId="0" borderId="0" xfId="92" quotePrefix="1" applyAlignment="1">
      <alignment horizontal="left" indent="1"/>
    </xf>
    <xf numFmtId="172" fontId="286"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2" fontId="0" fillId="0" borderId="0" xfId="0" applyNumberFormat="1" applyAlignment="1">
      <alignment horizontal="right" vertical="center"/>
    </xf>
    <xf numFmtId="0" fontId="292" fillId="0" borderId="0" xfId="90" applyFont="1" applyAlignment="1">
      <alignment horizontal="center"/>
    </xf>
    <xf numFmtId="165" fontId="0" fillId="3" borderId="59" xfId="1" applyNumberFormat="1" applyFont="1" applyFill="1" applyBorder="1" applyAlignment="1">
      <alignment horizontal="right" vertical="top"/>
    </xf>
    <xf numFmtId="0" fontId="8" fillId="0" borderId="10" xfId="0" applyFont="1" applyBorder="1"/>
    <xf numFmtId="165" fontId="11" fillId="38" borderId="6" xfId="1" applyNumberFormat="1" applyFont="1" applyFill="1" applyBorder="1"/>
    <xf numFmtId="165" fontId="11" fillId="0" borderId="11" xfId="1" applyNumberFormat="1" applyFont="1" applyFill="1" applyBorder="1"/>
    <xf numFmtId="0" fontId="286" fillId="0" borderId="10" xfId="0" applyFont="1" applyBorder="1"/>
    <xf numFmtId="0" fontId="8" fillId="0" borderId="90" xfId="0" applyFont="1" applyBorder="1"/>
    <xf numFmtId="0" fontId="0" fillId="0" borderId="150" xfId="0" applyBorder="1" applyAlignment="1">
      <alignment horizontal="left" indent="1"/>
    </xf>
    <xf numFmtId="0" fontId="0" fillId="0" borderId="150" xfId="0" applyBorder="1" applyAlignment="1" applyProtection="1">
      <alignment horizontal="center" vertical="center"/>
      <protection locked="0"/>
    </xf>
    <xf numFmtId="352" fontId="0" fillId="0" borderId="150" xfId="0" applyNumberFormat="1"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75"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76" fillId="47" borderId="150" xfId="0" applyFont="1" applyFill="1" applyBorder="1" applyAlignment="1">
      <alignment wrapText="1"/>
    </xf>
    <xf numFmtId="170" fontId="10" fillId="38" borderId="6" xfId="77" applyNumberFormat="1" applyFont="1" applyFill="1" applyBorder="1" applyAlignment="1" applyProtection="1">
      <alignment vertical="center"/>
    </xf>
    <xf numFmtId="0" fontId="248" fillId="134"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75" fontId="10" fillId="36" borderId="6" xfId="75" applyNumberFormat="1" applyFont="1" applyFill="1" applyBorder="1"/>
    <xf numFmtId="0" fontId="30" fillId="47" borderId="150" xfId="90" applyFont="1" applyFill="1" applyBorder="1" applyAlignment="1">
      <alignment horizontal="left"/>
    </xf>
    <xf numFmtId="0" fontId="32" fillId="47" borderId="150" xfId="75" applyFont="1" applyFill="1" applyBorder="1"/>
    <xf numFmtId="0" fontId="277" fillId="47" borderId="150" xfId="90" applyFont="1" applyFill="1" applyBorder="1" applyAlignment="1">
      <alignment horizontal="left" indent="1"/>
    </xf>
    <xf numFmtId="0" fontId="30" fillId="47" borderId="150" xfId="90" applyFont="1" applyFill="1" applyBorder="1" applyAlignment="1">
      <alignment horizontal="center" vertical="center"/>
    </xf>
    <xf numFmtId="165" fontId="10" fillId="38" borderId="6" xfId="1" applyNumberFormat="1" applyFont="1" applyFill="1" applyBorder="1"/>
    <xf numFmtId="0" fontId="0" fillId="3" borderId="150" xfId="0" applyFill="1" applyBorder="1" applyAlignment="1">
      <alignment horizontal="left" indent="1"/>
    </xf>
    <xf numFmtId="0" fontId="0" fillId="3" borderId="150" xfId="0" applyFill="1" applyBorder="1" applyAlignment="1">
      <alignment horizontal="center" vertical="center"/>
    </xf>
    <xf numFmtId="0" fontId="0" fillId="3" borderId="150" xfId="0" applyFill="1" applyBorder="1"/>
    <xf numFmtId="172" fontId="10" fillId="38" borderId="6" xfId="1" applyNumberFormat="1" applyFont="1" applyFill="1" applyBorder="1" applyProtection="1"/>
    <xf numFmtId="0" fontId="280" fillId="47" borderId="150" xfId="90" applyFont="1" applyFill="1" applyBorder="1" applyAlignment="1">
      <alignment horizontal="left"/>
    </xf>
    <xf numFmtId="0" fontId="35" fillId="47" borderId="150" xfId="90" applyFont="1" applyFill="1" applyBorder="1" applyAlignment="1">
      <alignment horizontal="center" vertical="center"/>
    </xf>
    <xf numFmtId="0" fontId="35" fillId="47" borderId="150" xfId="90" applyFont="1" applyFill="1" applyBorder="1" applyAlignment="1">
      <alignment horizontal="left"/>
    </xf>
    <xf numFmtId="2" fontId="10" fillId="40" borderId="6" xfId="75" applyNumberFormat="1" applyFont="1" applyFill="1" applyBorder="1"/>
    <xf numFmtId="0" fontId="279" fillId="47" borderId="150" xfId="90" applyFont="1" applyFill="1" applyBorder="1" applyAlignment="1">
      <alignment horizontal="left"/>
    </xf>
    <xf numFmtId="0" fontId="277" fillId="47" borderId="150" xfId="90" applyFont="1" applyFill="1" applyBorder="1" applyAlignment="1">
      <alignment horizontal="left"/>
    </xf>
    <xf numFmtId="172" fontId="11" fillId="42" borderId="28" xfId="1" applyNumberFormat="1" applyFont="1" applyFill="1" applyBorder="1" applyProtection="1"/>
    <xf numFmtId="172" fontId="11" fillId="42" borderId="28" xfId="2" applyNumberFormat="1" applyFont="1" applyFill="1" applyBorder="1" applyAlignment="1">
      <alignment horizontal="right" vertical="center"/>
    </xf>
    <xf numFmtId="0" fontId="0" fillId="0" borderId="28" xfId="0" applyBorder="1" applyAlignment="1">
      <alignment horizontal="center" vertical="top"/>
    </xf>
    <xf numFmtId="0" fontId="10" fillId="0" borderId="6" xfId="85" applyFont="1" applyBorder="1" applyAlignment="1">
      <alignment horizontal="center"/>
    </xf>
    <xf numFmtId="0" fontId="10" fillId="0" borderId="185" xfId="85" applyFont="1" applyBorder="1"/>
    <xf numFmtId="0" fontId="10" fillId="0" borderId="185" xfId="85" applyFont="1" applyBorder="1" applyAlignment="1">
      <alignment horizontal="center" vertical="center"/>
    </xf>
    <xf numFmtId="0" fontId="10" fillId="0" borderId="150" xfId="85" applyFont="1" applyBorder="1" applyAlignment="1">
      <alignment horizontal="center" vertical="top"/>
    </xf>
    <xf numFmtId="0" fontId="10" fillId="0" borderId="6" xfId="85" applyFont="1" applyBorder="1"/>
    <xf numFmtId="167" fontId="10" fillId="3" borderId="6" xfId="85" applyNumberFormat="1" applyFont="1" applyFill="1" applyBorder="1" applyProtection="1">
      <protection locked="0"/>
    </xf>
    <xf numFmtId="167" fontId="10" fillId="44" borderId="6" xfId="85" applyNumberFormat="1" applyFont="1" applyFill="1" applyBorder="1"/>
    <xf numFmtId="172" fontId="10" fillId="3" borderId="6" xfId="2" applyNumberFormat="1" applyFont="1" applyFill="1" applyBorder="1"/>
    <xf numFmtId="0" fontId="10" fillId="42" borderId="150" xfId="85" applyFont="1" applyFill="1" applyBorder="1" applyAlignment="1">
      <alignment horizontal="left" indent="1"/>
    </xf>
    <xf numFmtId="0" fontId="10" fillId="0" borderId="150" xfId="85" applyFont="1" applyBorder="1" applyAlignment="1">
      <alignment horizontal="center"/>
    </xf>
    <xf numFmtId="0" fontId="10" fillId="0" borderId="150" xfId="85" applyFont="1" applyBorder="1"/>
    <xf numFmtId="0" fontId="10" fillId="0" borderId="150" xfId="85" applyFont="1" applyBorder="1" applyAlignment="1">
      <alignment horizontal="left" indent="1"/>
    </xf>
    <xf numFmtId="0" fontId="10" fillId="0" borderId="150" xfId="85" applyFont="1" applyBorder="1" applyAlignment="1" applyProtection="1">
      <alignment horizontal="center" vertical="top"/>
      <protection locked="0"/>
    </xf>
    <xf numFmtId="0" fontId="10" fillId="0" borderId="150" xfId="85" applyFont="1" applyBorder="1" applyAlignment="1">
      <alignment horizontal="center" vertical="top" wrapText="1"/>
    </xf>
    <xf numFmtId="0" fontId="10" fillId="0" borderId="150" xfId="85" applyFont="1" applyBorder="1" applyAlignment="1" applyProtection="1">
      <alignment horizontal="center" vertical="top" wrapText="1"/>
      <protection locked="0"/>
    </xf>
    <xf numFmtId="0" fontId="292" fillId="47" borderId="150" xfId="90" applyFont="1" applyFill="1" applyBorder="1" applyAlignment="1">
      <alignment horizontal="center"/>
    </xf>
    <xf numFmtId="0" fontId="0" fillId="136" borderId="6" xfId="0" applyFill="1" applyBorder="1"/>
    <xf numFmtId="0" fontId="0" fillId="3" borderId="6" xfId="0" applyFill="1" applyBorder="1"/>
    <xf numFmtId="172" fontId="0" fillId="3" borderId="6" xfId="0" applyNumberFormat="1" applyFill="1" applyBorder="1" applyAlignment="1">
      <alignment horizontal="right" vertical="top"/>
    </xf>
    <xf numFmtId="0" fontId="0" fillId="0" borderId="6" xfId="0" applyBorder="1" applyAlignment="1">
      <alignment horizontal="center" vertical="top"/>
    </xf>
    <xf numFmtId="172" fontId="0" fillId="0" borderId="6" xfId="0" applyNumberFormat="1" applyBorder="1" applyAlignment="1">
      <alignment horizontal="right" vertical="top"/>
    </xf>
    <xf numFmtId="172" fontId="10" fillId="133" borderId="6" xfId="2" applyNumberFormat="1" applyFont="1" applyFill="1" applyBorder="1"/>
    <xf numFmtId="14" fontId="10" fillId="3" borderId="6" xfId="2" applyNumberFormat="1" applyFont="1" applyFill="1" applyBorder="1"/>
    <xf numFmtId="172" fontId="10" fillId="38" borderId="6" xfId="1" applyNumberFormat="1" applyFont="1" applyFill="1" applyBorder="1" applyAlignment="1" applyProtection="1">
      <alignment horizontal="right"/>
    </xf>
    <xf numFmtId="0" fontId="27" fillId="0" borderId="0" xfId="0" applyFont="1" applyAlignment="1">
      <alignment horizontal="left"/>
    </xf>
    <xf numFmtId="165" fontId="10" fillId="52" borderId="6" xfId="1" applyNumberFormat="1" applyFont="1" applyFill="1" applyBorder="1"/>
    <xf numFmtId="0" fontId="26" fillId="0" borderId="10" xfId="0" applyFont="1" applyBorder="1"/>
    <xf numFmtId="352"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65"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2" fontId="0" fillId="3" borderId="71" xfId="0" applyNumberFormat="1" applyFill="1" applyBorder="1" applyAlignment="1">
      <alignment horizontal="right" vertical="center"/>
    </xf>
    <xf numFmtId="173" fontId="0" fillId="0" borderId="6" xfId="0" applyNumberFormat="1" applyBorder="1" applyAlignment="1">
      <alignment horizontal="center" vertical="center"/>
    </xf>
    <xf numFmtId="173"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3" fontId="0" fillId="0" borderId="138" xfId="0" applyNumberFormat="1" applyBorder="1" applyAlignment="1">
      <alignment horizontal="center" vertical="center"/>
    </xf>
    <xf numFmtId="10" fontId="0" fillId="0" borderId="106" xfId="0" applyNumberFormat="1" applyBorder="1"/>
    <xf numFmtId="10" fontId="0" fillId="0" borderId="116" xfId="0" applyNumberFormat="1" applyBorder="1"/>
    <xf numFmtId="10" fontId="0" fillId="0" borderId="6" xfId="0" applyNumberFormat="1" applyBorder="1"/>
    <xf numFmtId="0" fontId="10" fillId="51" borderId="0" xfId="0" applyFont="1" applyFill="1" applyAlignment="1">
      <alignment horizontal="left" indent="1"/>
    </xf>
    <xf numFmtId="172" fontId="11" fillId="51" borderId="147" xfId="1" applyNumberFormat="1" applyFont="1" applyFill="1" applyBorder="1" applyProtection="1"/>
    <xf numFmtId="173" fontId="288" fillId="133" borderId="6" xfId="75" applyNumberFormat="1" applyFont="1" applyFill="1" applyBorder="1" applyAlignment="1">
      <alignment horizontal="center" vertical="center"/>
    </xf>
    <xf numFmtId="168" fontId="11" fillId="0" borderId="0" xfId="0" applyNumberFormat="1" applyFont="1" applyAlignment="1">
      <alignment vertical="center"/>
    </xf>
    <xf numFmtId="172" fontId="10" fillId="0" borderId="0" xfId="0" applyNumberFormat="1" applyFont="1" applyAlignment="1">
      <alignment horizontal="left" vertical="center" indent="1"/>
    </xf>
    <xf numFmtId="172" fontId="0" fillId="0" borderId="0" xfId="0" applyNumberFormat="1" applyAlignment="1" applyProtection="1">
      <alignment horizontal="center" vertical="center"/>
      <protection locked="0"/>
    </xf>
    <xf numFmtId="168" fontId="29" fillId="0" borderId="0" xfId="0" applyNumberFormat="1" applyFont="1" applyAlignment="1">
      <alignment horizontal="left" vertical="center" indent="1"/>
    </xf>
    <xf numFmtId="172"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50" xfId="0" applyFill="1" applyBorder="1" applyAlignment="1">
      <alignment horizontal="left"/>
    </xf>
    <xf numFmtId="0" fontId="248" fillId="116" borderId="0" xfId="0" applyFont="1" applyFill="1" applyAlignment="1">
      <alignment vertical="top"/>
    </xf>
    <xf numFmtId="172" fontId="0" fillId="52" borderId="63" xfId="0" applyNumberFormat="1" applyFill="1" applyBorder="1" applyAlignment="1">
      <alignment horizontal="right" vertical="top"/>
    </xf>
    <xf numFmtId="172" fontId="0" fillId="51" borderId="63" xfId="0" applyNumberFormat="1" applyFill="1" applyBorder="1" applyAlignment="1">
      <alignment horizontal="right" vertical="top"/>
    </xf>
    <xf numFmtId="172"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90" xfId="0" applyFill="1" applyBorder="1" applyAlignment="1">
      <alignment horizontal="center" wrapText="1"/>
    </xf>
    <xf numFmtId="0" fontId="0" fillId="52" borderId="150" xfId="0" applyFill="1" applyBorder="1"/>
    <xf numFmtId="3" fontId="0" fillId="52" borderId="91" xfId="0" applyNumberFormat="1" applyFill="1" applyBorder="1"/>
    <xf numFmtId="178"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68" fontId="293" fillId="48" borderId="0" xfId="94" applyFont="1">
      <alignment vertical="center"/>
    </xf>
    <xf numFmtId="0" fontId="26" fillId="0" borderId="0" xfId="0" applyFont="1" applyAlignment="1">
      <alignment horizontal="left" vertical="top"/>
    </xf>
    <xf numFmtId="172" fontId="10" fillId="3" borderId="77" xfId="2" applyNumberFormat="1" applyFont="1" applyFill="1" applyBorder="1"/>
    <xf numFmtId="172" fontId="11" fillId="3" borderId="74" xfId="2" applyNumberFormat="1" applyFont="1" applyFill="1" applyBorder="1"/>
    <xf numFmtId="352" fontId="11" fillId="52" borderId="71" xfId="2" applyNumberFormat="1" applyFont="1" applyFill="1" applyBorder="1"/>
    <xf numFmtId="172" fontId="0" fillId="133" borderId="69" xfId="0" applyNumberFormat="1" applyFill="1" applyBorder="1" applyAlignment="1">
      <alignment horizontal="right" vertical="top"/>
    </xf>
    <xf numFmtId="173" fontId="291" fillId="0" borderId="0" xfId="75" applyNumberFormat="1" applyFont="1" applyAlignment="1">
      <alignment horizontal="center" vertical="center"/>
    </xf>
    <xf numFmtId="173" fontId="291" fillId="0" borderId="0" xfId="75" applyNumberFormat="1" applyFont="1" applyAlignment="1">
      <alignment horizontal="center"/>
    </xf>
    <xf numFmtId="172" fontId="0" fillId="133" borderId="62" xfId="0" applyNumberFormat="1" applyFill="1" applyBorder="1" applyAlignment="1">
      <alignment horizontal="right" vertical="top"/>
    </xf>
    <xf numFmtId="2" fontId="10" fillId="133" borderId="6" xfId="75" applyNumberFormat="1" applyFont="1" applyFill="1" applyBorder="1"/>
    <xf numFmtId="3" fontId="10" fillId="51" borderId="0" xfId="1" applyNumberFormat="1" applyFont="1" applyFill="1" applyBorder="1" applyAlignment="1" applyProtection="1">
      <alignment horizontal="left" indent="1"/>
    </xf>
    <xf numFmtId="168" fontId="10" fillId="0" borderId="0" xfId="0" applyNumberFormat="1" applyFont="1" applyAlignment="1">
      <alignment vertical="center"/>
    </xf>
    <xf numFmtId="0" fontId="8" fillId="0" borderId="0" xfId="0" applyFont="1" applyAlignment="1">
      <alignment vertical="top"/>
    </xf>
    <xf numFmtId="168" fontId="10" fillId="3" borderId="0" xfId="0" applyNumberFormat="1" applyFont="1" applyFill="1" applyAlignment="1">
      <alignment horizontal="left" vertical="center" indent="1"/>
    </xf>
    <xf numFmtId="0" fontId="11" fillId="0" borderId="0" xfId="0" applyFont="1" applyAlignment="1">
      <alignment horizontal="left" vertical="top" indent="1"/>
    </xf>
    <xf numFmtId="172" fontId="11" fillId="52" borderId="74" xfId="2" applyNumberFormat="1" applyFont="1" applyFill="1" applyBorder="1"/>
    <xf numFmtId="0" fontId="296" fillId="0" borderId="0" xfId="0" applyFont="1"/>
    <xf numFmtId="0" fontId="297" fillId="0" borderId="0" xfId="0" applyFont="1"/>
    <xf numFmtId="0" fontId="2" fillId="0" borderId="185" xfId="51695" applyBorder="1"/>
    <xf numFmtId="0" fontId="2" fillId="0" borderId="0" xfId="51695"/>
    <xf numFmtId="0" fontId="287" fillId="0" borderId="0" xfId="51695" applyFont="1" applyAlignment="1">
      <alignment horizontal="center" vertical="top" wrapText="1"/>
    </xf>
    <xf numFmtId="0" fontId="287" fillId="137" borderId="6" xfId="51695" applyFont="1" applyFill="1" applyBorder="1" applyAlignment="1">
      <alignment horizontal="center" vertical="top"/>
    </xf>
    <xf numFmtId="0" fontId="287" fillId="0" borderId="0" xfId="51695" applyFont="1" applyAlignment="1">
      <alignment horizontal="center" vertical="top"/>
    </xf>
    <xf numFmtId="0" fontId="287" fillId="0" borderId="0" xfId="51695" applyFont="1" applyAlignment="1">
      <alignment horizontal="center" vertical="center" wrapText="1"/>
    </xf>
    <xf numFmtId="0" fontId="289" fillId="0" borderId="0" xfId="51695" applyFont="1" applyAlignment="1">
      <alignment horizontal="center" vertical="center" wrapText="1"/>
    </xf>
    <xf numFmtId="0" fontId="295" fillId="0" borderId="0" xfId="51695" applyFont="1" applyAlignment="1">
      <alignment vertical="top"/>
    </xf>
    <xf numFmtId="0" fontId="2" fillId="0" borderId="0" xfId="51695" applyAlignment="1">
      <alignment horizontal="left" vertical="top"/>
    </xf>
    <xf numFmtId="9" fontId="288" fillId="133" borderId="6" xfId="51696" applyFont="1" applyFill="1" applyBorder="1" applyAlignment="1">
      <alignment horizontal="center"/>
    </xf>
    <xf numFmtId="9" fontId="288" fillId="0" borderId="0" xfId="51696" applyFont="1" applyFill="1" applyBorder="1" applyAlignment="1">
      <alignment horizontal="center"/>
    </xf>
    <xf numFmtId="9" fontId="0" fillId="0" borderId="0" xfId="51696" applyFont="1" applyFill="1" applyBorder="1" applyAlignment="1">
      <alignment horizontal="center"/>
    </xf>
    <xf numFmtId="0" fontId="2" fillId="0" borderId="0" xfId="51695" applyAlignment="1">
      <alignment horizontal="left"/>
    </xf>
    <xf numFmtId="0" fontId="290" fillId="0" borderId="10" xfId="51695" applyFont="1" applyBorder="1" applyAlignment="1">
      <alignment horizontal="left"/>
    </xf>
    <xf numFmtId="0" fontId="2" fillId="0" borderId="0" xfId="51695" applyAlignment="1">
      <alignment vertical="center"/>
    </xf>
    <xf numFmtId="173" fontId="2" fillId="0" borderId="0" xfId="51695" applyNumberFormat="1" applyAlignment="1">
      <alignment horizontal="center" vertical="center"/>
    </xf>
    <xf numFmtId="173" fontId="2" fillId="0" borderId="0" xfId="51695" applyNumberFormat="1" applyAlignment="1">
      <alignment horizontal="center"/>
    </xf>
    <xf numFmtId="0" fontId="289" fillId="0" borderId="10" xfId="51695" applyFont="1" applyBorder="1"/>
    <xf numFmtId="173" fontId="294" fillId="0" borderId="0" xfId="75" applyNumberFormat="1" applyFont="1" applyAlignment="1">
      <alignment horizontal="center" vertical="center"/>
    </xf>
    <xf numFmtId="173" fontId="290" fillId="0" borderId="0" xfId="51695" applyNumberFormat="1" applyFont="1" applyAlignment="1">
      <alignment horizontal="center"/>
    </xf>
    <xf numFmtId="0" fontId="290" fillId="0" borderId="11" xfId="51695" applyFont="1" applyBorder="1"/>
    <xf numFmtId="0" fontId="290" fillId="0" borderId="0" xfId="51695" applyFont="1" applyAlignment="1">
      <alignment horizontal="left" vertical="center"/>
    </xf>
    <xf numFmtId="0" fontId="290" fillId="0" borderId="0" xfId="51695" applyFont="1" applyAlignment="1">
      <alignment horizontal="left"/>
    </xf>
    <xf numFmtId="0" fontId="287" fillId="0" borderId="10" xfId="51695" applyFont="1" applyBorder="1" applyAlignment="1">
      <alignment horizontal="left"/>
    </xf>
    <xf numFmtId="0" fontId="290" fillId="0" borderId="11" xfId="51695" applyFont="1" applyBorder="1" applyAlignment="1">
      <alignment horizontal="left"/>
    </xf>
    <xf numFmtId="0" fontId="290" fillId="0" borderId="10" xfId="51695" applyFont="1" applyBorder="1" applyAlignment="1">
      <alignment vertical="center"/>
    </xf>
    <xf numFmtId="0" fontId="290" fillId="0" borderId="10" xfId="51695" quotePrefix="1" applyFont="1" applyBorder="1" applyAlignment="1">
      <alignment vertical="center"/>
    </xf>
    <xf numFmtId="173" fontId="288" fillId="0" borderId="21" xfId="75" applyNumberFormat="1" applyFont="1" applyBorder="1" applyAlignment="1">
      <alignment horizontal="center" vertical="center"/>
    </xf>
    <xf numFmtId="178" fontId="287" fillId="133" borderId="6" xfId="51695" applyNumberFormat="1" applyFont="1" applyFill="1" applyBorder="1" applyAlignment="1">
      <alignment horizontal="center"/>
    </xf>
    <xf numFmtId="178" fontId="287" fillId="0" borderId="0" xfId="51695" applyNumberFormat="1" applyFont="1" applyAlignment="1">
      <alignment horizontal="center"/>
    </xf>
    <xf numFmtId="0" fontId="298" fillId="52" borderId="139" xfId="51695" applyFont="1" applyFill="1" applyBorder="1" applyAlignment="1">
      <alignment vertical="center"/>
    </xf>
    <xf numFmtId="0" fontId="298" fillId="52" borderId="143" xfId="51695" applyFont="1" applyFill="1" applyBorder="1" applyAlignment="1">
      <alignment vertical="center"/>
    </xf>
    <xf numFmtId="173" fontId="298" fillId="52" borderId="6" xfId="51695" applyNumberFormat="1" applyFont="1" applyFill="1" applyBorder="1" applyAlignment="1">
      <alignment horizontal="center" vertical="center"/>
    </xf>
    <xf numFmtId="173" fontId="298" fillId="0" borderId="10" xfId="51695" applyNumberFormat="1" applyFont="1" applyBorder="1" applyAlignment="1">
      <alignment horizontal="center" vertical="center"/>
    </xf>
    <xf numFmtId="173" fontId="300" fillId="0" borderId="11" xfId="75" applyNumberFormat="1" applyFont="1" applyBorder="1" applyAlignment="1">
      <alignment horizontal="center" vertical="center"/>
    </xf>
    <xf numFmtId="0" fontId="2" fillId="0" borderId="0" xfId="51695" quotePrefix="1"/>
    <xf numFmtId="0" fontId="2" fillId="0" borderId="0" xfId="51695" applyAlignment="1">
      <alignment horizontal="center"/>
    </xf>
    <xf numFmtId="0" fontId="290" fillId="0" borderId="0" xfId="51695" applyFont="1" applyAlignment="1">
      <alignment horizontal="center"/>
    </xf>
    <xf numFmtId="0" fontId="0" fillId="138" borderId="0" xfId="0" applyFill="1" applyAlignment="1">
      <alignment horizontal="left" vertical="top" indent="1"/>
    </xf>
    <xf numFmtId="0" fontId="290" fillId="0" borderId="10" xfId="51695" quotePrefix="1" applyFont="1" applyBorder="1" applyAlignment="1">
      <alignment horizontal="left" vertical="center"/>
    </xf>
    <xf numFmtId="355" fontId="10" fillId="0" borderId="0" xfId="2" applyNumberFormat="1" applyFont="1" applyFill="1" applyBorder="1" applyAlignment="1">
      <alignment horizontal="center"/>
    </xf>
    <xf numFmtId="172" fontId="11" fillId="52" borderId="186" xfId="2" applyNumberFormat="1" applyFont="1" applyFill="1" applyBorder="1"/>
    <xf numFmtId="172" fontId="11" fillId="52" borderId="143" xfId="2" applyNumberFormat="1" applyFont="1" applyFill="1" applyBorder="1"/>
    <xf numFmtId="355" fontId="10" fillId="54" borderId="71" xfId="2" applyNumberFormat="1" applyFont="1" applyFill="1" applyBorder="1" applyAlignment="1">
      <alignment horizontal="center"/>
    </xf>
    <xf numFmtId="355" fontId="10" fillId="54" borderId="186" xfId="2" applyNumberFormat="1" applyFont="1" applyFill="1" applyBorder="1" applyAlignment="1">
      <alignment horizontal="center"/>
    </xf>
    <xf numFmtId="355" fontId="10" fillId="54" borderId="143" xfId="2" applyNumberFormat="1" applyFont="1" applyFill="1" applyBorder="1" applyAlignment="1">
      <alignment horizontal="center"/>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89" fillId="0" borderId="10" xfId="51695" applyFont="1" applyBorder="1" applyAlignment="1">
      <alignment horizontal="left"/>
    </xf>
    <xf numFmtId="0" fontId="289" fillId="0" borderId="11" xfId="51695" applyFont="1" applyBorder="1" applyAlignment="1">
      <alignment horizontal="left"/>
    </xf>
    <xf numFmtId="3" fontId="10" fillId="51" borderId="0" xfId="77" applyNumberFormat="1" applyFont="1" applyFill="1" applyBorder="1" applyAlignment="1" applyProtection="1">
      <alignment horizontal="left" indent="1"/>
    </xf>
    <xf numFmtId="14" fontId="294" fillId="36" borderId="6" xfId="75" applyNumberFormat="1" applyFont="1" applyFill="1" applyBorder="1" applyAlignment="1">
      <alignment horizontal="center" vertical="center"/>
    </xf>
    <xf numFmtId="0" fontId="289" fillId="0" borderId="139" xfId="51695" applyFont="1" applyBorder="1" applyAlignment="1">
      <alignment horizontal="left" vertical="center"/>
    </xf>
    <xf numFmtId="0" fontId="290" fillId="0" borderId="143" xfId="51695" applyFont="1" applyBorder="1" applyAlignment="1">
      <alignment horizontal="left" vertical="center"/>
    </xf>
    <xf numFmtId="173" fontId="287" fillId="52" borderId="6" xfId="51695" applyNumberFormat="1" applyFont="1" applyFill="1" applyBorder="1" applyAlignment="1">
      <alignment horizontal="center" vertical="center"/>
    </xf>
    <xf numFmtId="0" fontId="289" fillId="0" borderId="10" xfId="51695" applyFont="1" applyBorder="1" applyAlignment="1">
      <alignment horizontal="left" vertical="center"/>
    </xf>
    <xf numFmtId="173" fontId="287" fillId="0" borderId="28" xfId="51695" applyNumberFormat="1" applyFont="1" applyBorder="1" applyAlignment="1">
      <alignment horizontal="center" vertical="center"/>
    </xf>
    <xf numFmtId="0" fontId="287" fillId="0" borderId="139" xfId="51695" applyFont="1" applyBorder="1" applyAlignment="1">
      <alignment horizontal="left" vertical="center"/>
    </xf>
    <xf numFmtId="0" fontId="289" fillId="0" borderId="0" xfId="51695" applyFont="1" applyAlignment="1">
      <alignment horizontal="left" vertical="center"/>
    </xf>
    <xf numFmtId="173" fontId="294" fillId="52" borderId="6" xfId="75" applyNumberFormat="1" applyFont="1" applyFill="1" applyBorder="1" applyAlignment="1">
      <alignment horizontal="center" vertical="center"/>
    </xf>
    <xf numFmtId="0" fontId="287" fillId="52" borderId="139" xfId="51695" applyFont="1" applyFill="1" applyBorder="1" applyAlignment="1">
      <alignment vertical="center"/>
    </xf>
    <xf numFmtId="0" fontId="290" fillId="0" borderId="90" xfId="51695" applyFont="1" applyBorder="1" applyAlignment="1">
      <alignment horizontal="left" vertical="center"/>
    </xf>
    <xf numFmtId="0" fontId="290" fillId="0" borderId="91" xfId="51695" applyFont="1" applyBorder="1" applyAlignment="1">
      <alignment horizontal="left" vertical="center"/>
    </xf>
    <xf numFmtId="0" fontId="287" fillId="52" borderId="139" xfId="51695" applyFont="1" applyFill="1" applyBorder="1" applyAlignment="1">
      <alignment horizontal="left" vertical="center"/>
    </xf>
    <xf numFmtId="0" fontId="299" fillId="0" borderId="0" xfId="51695" applyFont="1" applyAlignment="1">
      <alignment vertical="center"/>
    </xf>
    <xf numFmtId="172" fontId="10" fillId="0" borderId="0" xfId="2" applyNumberFormat="1" applyFont="1"/>
    <xf numFmtId="353" fontId="2" fillId="0" borderId="0" xfId="51695" applyNumberFormat="1" applyAlignment="1">
      <alignment vertical="center"/>
    </xf>
    <xf numFmtId="0" fontId="2" fillId="0" borderId="0" xfId="51695" applyAlignment="1">
      <alignment vertical="center" wrapText="1"/>
    </xf>
    <xf numFmtId="0" fontId="1" fillId="0" borderId="0" xfId="51695" applyFont="1" applyAlignment="1">
      <alignment vertical="center"/>
    </xf>
    <xf numFmtId="173" fontId="301" fillId="0" borderId="0" xfId="75" applyNumberFormat="1" applyFont="1" applyAlignment="1">
      <alignment horizontal="center" vertical="center"/>
    </xf>
    <xf numFmtId="0" fontId="2" fillId="0" borderId="6" xfId="51695" applyBorder="1" applyAlignment="1">
      <alignment vertical="center" wrapText="1"/>
    </xf>
    <xf numFmtId="173" fontId="287" fillId="0" borderId="0" xfId="51695" applyNumberFormat="1" applyFont="1" applyAlignment="1">
      <alignment horizontal="center" vertical="center"/>
    </xf>
    <xf numFmtId="353" fontId="2" fillId="0" borderId="0" xfId="51695" applyNumberFormat="1"/>
    <xf numFmtId="0" fontId="2" fillId="0" borderId="0" xfId="51695" applyAlignment="1">
      <alignment wrapText="1"/>
    </xf>
    <xf numFmtId="0" fontId="2" fillId="0" borderId="10" xfId="51695" applyBorder="1"/>
    <xf numFmtId="0" fontId="2" fillId="0" borderId="11" xfId="51695" applyBorder="1"/>
    <xf numFmtId="0" fontId="1" fillId="0" borderId="6" xfId="51695" applyFont="1" applyBorder="1" applyAlignment="1">
      <alignment vertical="center" wrapText="1"/>
    </xf>
    <xf numFmtId="0" fontId="2" fillId="0" borderId="11" xfId="51695" applyBorder="1" applyAlignment="1">
      <alignment vertical="center"/>
    </xf>
    <xf numFmtId="173" fontId="2" fillId="0" borderId="11" xfId="51695" applyNumberFormat="1" applyBorder="1" applyAlignment="1">
      <alignment horizontal="center" vertical="center"/>
    </xf>
    <xf numFmtId="173" fontId="2" fillId="0" borderId="185" xfId="51695" applyNumberFormat="1" applyBorder="1" applyAlignment="1">
      <alignment horizontal="center" vertical="center"/>
    </xf>
    <xf numFmtId="173" fontId="2" fillId="0" borderId="150" xfId="51695" applyNumberFormat="1" applyBorder="1" applyAlignment="1">
      <alignment horizontal="center"/>
    </xf>
    <xf numFmtId="173" fontId="301" fillId="0" borderId="11" xfId="75" applyNumberFormat="1" applyFont="1" applyBorder="1" applyAlignment="1">
      <alignment horizontal="center" vertical="center"/>
    </xf>
    <xf numFmtId="0" fontId="2" fillId="0" borderId="0" xfId="51695" applyAlignment="1">
      <alignment horizontal="left" vertical="center"/>
    </xf>
    <xf numFmtId="173" fontId="2" fillId="0" borderId="21" xfId="51695" applyNumberFormat="1" applyBorder="1" applyAlignment="1">
      <alignment horizontal="center" vertical="center"/>
    </xf>
    <xf numFmtId="0" fontId="2" fillId="0" borderId="10" xfId="51695" applyBorder="1" applyAlignment="1">
      <alignment horizontal="left" vertical="center"/>
    </xf>
    <xf numFmtId="0" fontId="2" fillId="0" borderId="11" xfId="51695" applyBorder="1" applyAlignment="1">
      <alignment horizontal="left" vertical="center"/>
    </xf>
    <xf numFmtId="0" fontId="2" fillId="0" borderId="11" xfId="51695" applyBorder="1" applyAlignment="1">
      <alignment horizontal="left"/>
    </xf>
    <xf numFmtId="0" fontId="2" fillId="0" borderId="150" xfId="51695" applyBorder="1" applyAlignment="1">
      <alignment wrapText="1"/>
    </xf>
    <xf numFmtId="0" fontId="2" fillId="52" borderId="143" xfId="51695" applyFill="1" applyBorder="1" applyAlignment="1">
      <alignment vertical="center"/>
    </xf>
    <xf numFmtId="173" fontId="2" fillId="0" borderId="10" xfId="51695" applyNumberFormat="1" applyBorder="1" applyAlignment="1">
      <alignment horizontal="center" vertical="center"/>
    </xf>
    <xf numFmtId="0" fontId="2" fillId="0" borderId="90" xfId="51695" applyBorder="1" applyAlignment="1">
      <alignment horizontal="left"/>
    </xf>
    <xf numFmtId="0" fontId="2" fillId="0" borderId="91" xfId="51695" applyBorder="1" applyAlignment="1">
      <alignment horizontal="left"/>
    </xf>
    <xf numFmtId="0" fontId="2" fillId="52" borderId="143" xfId="51695" applyFill="1" applyBorder="1" applyAlignment="1">
      <alignment horizontal="left" vertical="center"/>
    </xf>
    <xf numFmtId="173" fontId="1" fillId="52" borderId="6" xfId="51695" applyNumberFormat="1" applyFont="1" applyFill="1" applyBorder="1" applyAlignment="1">
      <alignment horizontal="center" vertical="center"/>
    </xf>
    <xf numFmtId="0" fontId="287" fillId="52" borderId="6" xfId="51695" applyFont="1" applyFill="1" applyBorder="1" applyAlignment="1">
      <alignment horizontal="center" vertical="top"/>
    </xf>
    <xf numFmtId="173" fontId="288" fillId="52" borderId="6" xfId="75" applyNumberFormat="1" applyFont="1" applyFill="1" applyBorder="1" applyAlignment="1">
      <alignment horizontal="center" vertical="center"/>
    </xf>
    <xf numFmtId="0" fontId="277" fillId="47" borderId="187" xfId="90" applyFont="1" applyFill="1" applyBorder="1" applyAlignment="1">
      <alignment horizontal="left"/>
    </xf>
    <xf numFmtId="0" fontId="277" fillId="47" borderId="185" xfId="90" applyFont="1" applyFill="1" applyBorder="1" applyAlignment="1">
      <alignment horizontal="left"/>
    </xf>
    <xf numFmtId="0" fontId="277" fillId="47" borderId="126" xfId="90" applyFont="1" applyFill="1" applyBorder="1" applyAlignment="1">
      <alignment horizontal="left"/>
    </xf>
    <xf numFmtId="0" fontId="287" fillId="137" borderId="187" xfId="51695" applyFont="1" applyFill="1" applyBorder="1" applyAlignment="1">
      <alignment horizontal="center" vertical="center" wrapText="1"/>
    </xf>
    <xf numFmtId="2" fontId="288" fillId="0" borderId="21" xfId="75" applyNumberFormat="1" applyFont="1" applyBorder="1" applyAlignment="1">
      <alignment horizontal="center"/>
    </xf>
    <xf numFmtId="0" fontId="286" fillId="116" borderId="0" xfId="0" applyFont="1" applyFill="1" applyAlignment="1">
      <alignment horizontal="left" vertical="top"/>
    </xf>
    <xf numFmtId="0" fontId="0" fillId="116" borderId="0" xfId="0" applyFill="1" applyAlignment="1">
      <alignment horizontal="left" vertical="top" indent="1"/>
    </xf>
    <xf numFmtId="0" fontId="277" fillId="47" borderId="188" xfId="90" applyFont="1" applyFill="1" applyBorder="1" applyAlignment="1">
      <alignment horizontal="left"/>
    </xf>
    <xf numFmtId="0" fontId="276" fillId="47" borderId="189" xfId="0" applyFont="1" applyFill="1" applyBorder="1" applyAlignment="1">
      <alignment wrapText="1"/>
    </xf>
    <xf numFmtId="0" fontId="0" fillId="52" borderId="188" xfId="0" applyFill="1" applyBorder="1" applyAlignment="1">
      <alignment horizontal="center" wrapText="1"/>
    </xf>
    <xf numFmtId="0" fontId="0" fillId="52" borderId="189" xfId="0" applyFill="1" applyBorder="1"/>
    <xf numFmtId="0" fontId="31" fillId="47" borderId="189" xfId="75" applyFont="1" applyFill="1" applyBorder="1"/>
    <xf numFmtId="0" fontId="0" fillId="47" borderId="189" xfId="0" applyFill="1" applyBorder="1"/>
    <xf numFmtId="0" fontId="29" fillId="0" borderId="188" xfId="0" applyFont="1" applyBorder="1"/>
    <xf numFmtId="0" fontId="0" fillId="3" borderId="21" xfId="0" applyFill="1" applyBorder="1"/>
    <xf numFmtId="0" fontId="0" fillId="3" borderId="189" xfId="0" applyFill="1" applyBorder="1"/>
    <xf numFmtId="0" fontId="32" fillId="47" borderId="189" xfId="75" applyFont="1" applyFill="1" applyBorder="1"/>
    <xf numFmtId="0" fontId="279" fillId="47" borderId="188" xfId="90" applyFont="1" applyFill="1" applyBorder="1" applyAlignment="1">
      <alignment horizontal="left"/>
    </xf>
    <xf numFmtId="0" fontId="10" fillId="0" borderId="187" xfId="85" applyFont="1" applyBorder="1" applyAlignment="1">
      <alignment horizontal="center" vertical="center"/>
    </xf>
    <xf numFmtId="0" fontId="11" fillId="0" borderId="188" xfId="84" applyFont="1" applyBorder="1" applyAlignment="1">
      <alignment horizontal="left"/>
    </xf>
    <xf numFmtId="0" fontId="10" fillId="0" borderId="190" xfId="85" applyFont="1" applyBorder="1" applyAlignment="1">
      <alignment horizontal="center" vertical="center"/>
    </xf>
    <xf numFmtId="0" fontId="10" fillId="0" borderId="190" xfId="85" applyFont="1" applyBorder="1"/>
    <xf numFmtId="0" fontId="10" fillId="0" borderId="188" xfId="85" applyFont="1" applyBorder="1" applyAlignment="1">
      <alignment horizontal="left" indent="1"/>
    </xf>
    <xf numFmtId="0" fontId="10" fillId="0" borderId="189" xfId="85" applyFont="1" applyBorder="1" applyAlignment="1">
      <alignment horizontal="center"/>
    </xf>
    <xf numFmtId="0" fontId="287" fillId="137" borderId="189" xfId="51695" applyFont="1" applyFill="1" applyBorder="1" applyAlignment="1">
      <alignment horizontal="center" vertical="top" wrapText="1"/>
    </xf>
    <xf numFmtId="0" fontId="290" fillId="0" borderId="188" xfId="51695" applyFont="1" applyBorder="1" applyAlignment="1">
      <alignment horizontal="left"/>
    </xf>
    <xf numFmtId="0" fontId="290" fillId="0" borderId="189" xfId="51695" applyFont="1" applyBorder="1" applyAlignment="1">
      <alignment horizontal="left" vertical="center"/>
    </xf>
    <xf numFmtId="0" fontId="1" fillId="0" borderId="0" xfId="51695" applyFont="1"/>
    <xf numFmtId="0" fontId="1" fillId="42" borderId="0" xfId="51695" applyFont="1" applyFill="1" applyAlignment="1">
      <alignment vertical="center"/>
    </xf>
    <xf numFmtId="0" fontId="287" fillId="0" borderId="188" xfId="51695" applyFont="1" applyBorder="1" applyAlignment="1">
      <alignment horizontal="left" vertical="center"/>
    </xf>
    <xf numFmtId="0" fontId="287" fillId="0" borderId="188" xfId="51695" applyFont="1" applyBorder="1" applyAlignment="1">
      <alignment horizontal="left"/>
    </xf>
    <xf numFmtId="0" fontId="290" fillId="0" borderId="189" xfId="51695" applyFont="1" applyBorder="1" applyAlignment="1">
      <alignment horizontal="left"/>
    </xf>
    <xf numFmtId="0" fontId="2" fillId="0" borderId="189" xfId="51695" applyBorder="1" applyAlignment="1">
      <alignment horizontal="left" vertical="center"/>
    </xf>
    <xf numFmtId="10" fontId="10" fillId="3" borderId="63" xfId="85" applyNumberFormat="1" applyFont="1" applyFill="1" applyBorder="1" applyAlignment="1" applyProtection="1">
      <alignment horizontal="center"/>
      <protection locked="0"/>
    </xf>
    <xf numFmtId="0" fontId="10" fillId="3" borderId="63" xfId="85" applyFont="1" applyFill="1" applyBorder="1" applyAlignment="1" applyProtection="1">
      <alignment horizontal="center"/>
      <protection locked="0"/>
    </xf>
    <xf numFmtId="9" fontId="10" fillId="3" borderId="63" xfId="77" applyFont="1" applyFill="1" applyBorder="1" applyAlignment="1" applyProtection="1">
      <alignment horizontal="center"/>
      <protection locked="0"/>
    </xf>
    <xf numFmtId="2" fontId="7" fillId="3" borderId="62" xfId="95" applyNumberFormat="1" applyFill="1" applyBorder="1" applyAlignment="1" applyProtection="1">
      <alignment vertical="center"/>
      <protection locked="0"/>
    </xf>
    <xf numFmtId="2" fontId="7" fillId="3" borderId="63" xfId="95" applyNumberFormat="1" applyFill="1" applyBorder="1" applyAlignment="1" applyProtection="1">
      <alignment vertical="center"/>
      <protection locked="0"/>
    </xf>
    <xf numFmtId="2" fontId="7" fillId="3" borderId="97" xfId="95" applyNumberFormat="1" applyFill="1" applyBorder="1" applyAlignment="1" applyProtection="1">
      <alignment vertical="center"/>
      <protection locked="0"/>
    </xf>
    <xf numFmtId="2" fontId="7" fillId="3" borderId="119" xfId="95" applyNumberFormat="1" applyFill="1" applyBorder="1" applyAlignment="1" applyProtection="1">
      <alignment vertical="center"/>
      <protection locked="0"/>
    </xf>
    <xf numFmtId="0" fontId="10" fillId="3" borderId="85" xfId="77" applyNumberFormat="1" applyFont="1" applyFill="1" applyBorder="1" applyAlignment="1" applyProtection="1">
      <alignment horizontal="center"/>
      <protection locked="0"/>
    </xf>
    <xf numFmtId="0" fontId="10" fillId="3" borderId="85" xfId="85" applyFont="1" applyFill="1" applyBorder="1" applyAlignment="1" applyProtection="1">
      <alignment horizontal="center"/>
      <protection locked="0"/>
    </xf>
    <xf numFmtId="0" fontId="0" fillId="3" borderId="0" xfId="0" applyFill="1" applyAlignment="1">
      <alignment horizontal="left"/>
    </xf>
    <xf numFmtId="0" fontId="0" fillId="3" borderId="10" xfId="0" applyFill="1" applyBorder="1" applyAlignment="1">
      <alignment vertical="top" wrapText="1"/>
    </xf>
    <xf numFmtId="0" fontId="0" fillId="3" borderId="90" xfId="0" applyFill="1" applyBorder="1" applyAlignment="1">
      <alignment vertical="top" wrapText="1"/>
    </xf>
    <xf numFmtId="14" fontId="10" fillId="3" borderId="6" xfId="2" applyNumberFormat="1" applyFont="1" applyFill="1" applyBorder="1" applyAlignment="1">
      <alignment horizontal="center" vertical="center"/>
    </xf>
    <xf numFmtId="173" fontId="10" fillId="139" borderId="6" xfId="7" applyNumberFormat="1" applyFont="1" applyFill="1" applyBorder="1" applyAlignment="1">
      <alignment horizontal="center" vertical="center"/>
    </xf>
    <xf numFmtId="173" fontId="0" fillId="139" borderId="63" xfId="0" applyNumberFormat="1" applyFill="1" applyBorder="1" applyAlignment="1">
      <alignment horizontal="right" indent="1"/>
    </xf>
    <xf numFmtId="173" fontId="0" fillId="139" borderId="138" xfId="0" applyNumberFormat="1" applyFill="1" applyBorder="1" applyAlignment="1">
      <alignment horizontal="center" vertical="center"/>
    </xf>
    <xf numFmtId="164" fontId="10" fillId="3" borderId="63" xfId="1" applyFont="1" applyFill="1" applyBorder="1" applyAlignment="1" applyProtection="1">
      <alignment horizontal="center"/>
      <protection locked="0"/>
    </xf>
    <xf numFmtId="14" fontId="10" fillId="3" borderId="63" xfId="85" applyNumberFormat="1" applyFont="1" applyFill="1" applyBorder="1" applyAlignment="1" applyProtection="1">
      <alignment horizontal="left"/>
      <protection locked="0"/>
    </xf>
    <xf numFmtId="170" fontId="10" fillId="3" borderId="63" xfId="77" applyNumberFormat="1" applyFont="1" applyFill="1" applyBorder="1" applyAlignment="1" applyProtection="1">
      <alignment horizontal="center"/>
      <protection locked="0"/>
    </xf>
    <xf numFmtId="173" fontId="10" fillId="3" borderId="63" xfId="85" applyNumberFormat="1" applyFont="1" applyFill="1" applyBorder="1" applyAlignment="1" applyProtection="1">
      <alignment horizontal="center"/>
      <protection locked="0"/>
    </xf>
    <xf numFmtId="170" fontId="10" fillId="3" borderId="63" xfId="77" applyNumberFormat="1" applyFont="1" applyFill="1" applyBorder="1" applyAlignment="1" applyProtection="1">
      <protection locked="0"/>
    </xf>
    <xf numFmtId="178" fontId="10" fillId="3" borderId="63" xfId="85" applyNumberFormat="1" applyFont="1" applyFill="1" applyBorder="1" applyProtection="1">
      <protection locked="0"/>
    </xf>
    <xf numFmtId="2" fontId="10" fillId="3" borderId="64" xfId="83" applyNumberFormat="1" applyFont="1" applyFill="1" applyBorder="1" applyAlignment="1" applyProtection="1">
      <alignment horizontal="left" indent="1"/>
      <protection locked="0"/>
    </xf>
    <xf numFmtId="164" fontId="10" fillId="3" borderId="64" xfId="1" applyFont="1" applyFill="1" applyBorder="1" applyProtection="1">
      <protection locked="0"/>
    </xf>
    <xf numFmtId="0" fontId="10" fillId="3" borderId="116" xfId="85" applyFont="1" applyFill="1" applyBorder="1" applyAlignment="1" applyProtection="1">
      <alignment horizontal="left"/>
      <protection locked="0"/>
    </xf>
    <xf numFmtId="0" fontId="10" fillId="3" borderId="191" xfId="85" applyFont="1" applyFill="1" applyBorder="1" applyAlignment="1" applyProtection="1">
      <alignment horizontal="left"/>
      <protection locked="0"/>
    </xf>
    <xf numFmtId="172" fontId="0" fillId="43" borderId="122" xfId="48236" applyNumberFormat="1" applyFont="1" applyBorder="1">
      <alignment vertical="center"/>
    </xf>
    <xf numFmtId="172" fontId="0" fillId="43" borderId="107" xfId="48236" applyNumberFormat="1" applyFont="1" applyBorder="1">
      <alignment vertical="center"/>
    </xf>
    <xf numFmtId="172" fontId="0" fillId="43" borderId="72" xfId="48236" applyNumberFormat="1" applyFont="1" applyBorder="1">
      <alignment vertical="center"/>
    </xf>
    <xf numFmtId="43" fontId="0" fillId="0" borderId="0" xfId="0" applyNumberFormat="1"/>
    <xf numFmtId="352" fontId="0" fillId="0" borderId="0" xfId="0" applyNumberFormat="1" applyAlignment="1">
      <alignment horizontal="left" vertical="top"/>
    </xf>
    <xf numFmtId="43" fontId="0" fillId="0" borderId="0" xfId="0" applyNumberFormat="1" applyAlignment="1">
      <alignment horizontal="left" vertical="top"/>
    </xf>
    <xf numFmtId="2" fontId="10" fillId="3" borderId="85" xfId="85" applyNumberFormat="1" applyFont="1" applyFill="1" applyBorder="1" applyAlignment="1" applyProtection="1">
      <alignment horizontal="center"/>
      <protection locked="0"/>
    </xf>
    <xf numFmtId="9" fontId="10" fillId="3" borderId="85" xfId="77" applyFont="1" applyFill="1" applyBorder="1" applyAlignment="1" applyProtection="1">
      <alignment horizontal="center"/>
      <protection locked="0"/>
    </xf>
    <xf numFmtId="352" fontId="0" fillId="0" borderId="0" xfId="0" applyNumberFormat="1" applyAlignment="1">
      <alignment horizontal="center" vertical="top"/>
    </xf>
    <xf numFmtId="172" fontId="10" fillId="116" borderId="60" xfId="2" applyNumberFormat="1" applyFont="1" applyFill="1" applyBorder="1"/>
    <xf numFmtId="0" fontId="10" fillId="3" borderId="115" xfId="48237" applyFill="1" applyBorder="1" applyAlignment="1">
      <alignment horizontal="left"/>
    </xf>
    <xf numFmtId="0" fontId="10" fillId="3" borderId="115" xfId="85" applyFont="1" applyFill="1" applyBorder="1"/>
    <xf numFmtId="0" fontId="10" fillId="3" borderId="115" xfId="84" applyFont="1" applyFill="1" applyBorder="1" applyAlignment="1">
      <alignment wrapText="1"/>
    </xf>
    <xf numFmtId="0" fontId="10" fillId="3" borderId="192" xfId="48237" applyFill="1" applyBorder="1" applyAlignment="1">
      <alignment horizontal="left"/>
    </xf>
    <xf numFmtId="0" fontId="10" fillId="3" borderId="193" xfId="85" applyFont="1" applyFill="1" applyBorder="1"/>
    <xf numFmtId="0" fontId="10" fillId="3" borderId="193" xfId="84" applyFont="1" applyFill="1" applyBorder="1" applyAlignment="1">
      <alignment wrapText="1"/>
    </xf>
    <xf numFmtId="0" fontId="10" fillId="3" borderId="194" xfId="84" applyFont="1" applyFill="1" applyBorder="1" applyAlignment="1">
      <alignment wrapText="1"/>
    </xf>
    <xf numFmtId="172" fontId="0" fillId="3" borderId="140" xfId="0" applyNumberFormat="1" applyFill="1" applyBorder="1" applyAlignment="1">
      <alignment horizontal="right" vertical="top"/>
    </xf>
    <xf numFmtId="172" fontId="0" fillId="52" borderId="85" xfId="0" applyNumberFormat="1" applyFill="1" applyBorder="1" applyAlignment="1">
      <alignment horizontal="right" vertical="top"/>
    </xf>
    <xf numFmtId="0" fontId="0" fillId="3" borderId="195" xfId="0" applyFill="1" applyBorder="1" applyAlignment="1">
      <alignment horizontal="left" vertical="top" indent="1"/>
    </xf>
    <xf numFmtId="0" fontId="0" fillId="3" borderId="197" xfId="0" applyFill="1" applyBorder="1" applyAlignment="1">
      <alignment horizontal="left" vertical="top" indent="1"/>
    </xf>
    <xf numFmtId="0" fontId="0" fillId="3" borderId="198" xfId="0" applyFill="1" applyBorder="1" applyAlignment="1">
      <alignment horizontal="left" vertical="top" indent="1"/>
    </xf>
    <xf numFmtId="0" fontId="0" fillId="0" borderId="199" xfId="0" applyBorder="1" applyAlignment="1" applyProtection="1">
      <alignment horizontal="center" vertical="center"/>
      <protection locked="0"/>
    </xf>
    <xf numFmtId="172" fontId="0" fillId="3" borderId="200" xfId="0" applyNumberFormat="1" applyFill="1" applyBorder="1" applyAlignment="1">
      <alignment horizontal="right" vertical="top"/>
    </xf>
    <xf numFmtId="172" fontId="0" fillId="51" borderId="140" xfId="0" applyNumberFormat="1" applyFill="1" applyBorder="1" applyAlignment="1">
      <alignment horizontal="right" vertical="top"/>
    </xf>
    <xf numFmtId="165" fontId="11" fillId="38" borderId="201" xfId="1" applyNumberFormat="1" applyFont="1" applyFill="1" applyBorder="1"/>
    <xf numFmtId="165" fontId="11" fillId="38" borderId="202" xfId="1" applyNumberFormat="1" applyFont="1" applyFill="1" applyBorder="1"/>
    <xf numFmtId="165" fontId="11" fillId="38" borderId="203" xfId="1" applyNumberFormat="1" applyFont="1" applyFill="1" applyBorder="1"/>
    <xf numFmtId="172" fontId="10" fillId="38" borderId="110" xfId="1" applyNumberFormat="1" applyFont="1" applyFill="1" applyBorder="1" applyProtection="1"/>
    <xf numFmtId="172" fontId="10" fillId="38" borderId="208" xfId="1" applyNumberFormat="1" applyFont="1" applyFill="1" applyBorder="1" applyProtection="1"/>
    <xf numFmtId="172" fontId="0" fillId="3" borderId="0" xfId="0" applyNumberFormat="1" applyFill="1" applyAlignment="1">
      <alignment horizontal="right" vertical="top"/>
    </xf>
    <xf numFmtId="172" fontId="0" fillId="3" borderId="209" xfId="0" applyNumberFormat="1" applyFill="1" applyBorder="1" applyAlignment="1">
      <alignment horizontal="right" vertical="top"/>
    </xf>
    <xf numFmtId="172" fontId="0" fillId="3" borderId="199" xfId="0" applyNumberFormat="1" applyFill="1" applyBorder="1" applyAlignment="1">
      <alignment horizontal="right" vertical="top"/>
    </xf>
    <xf numFmtId="172" fontId="0" fillId="0" borderId="0" xfId="0" applyNumberFormat="1" applyAlignment="1">
      <alignment horizontal="left" vertical="top"/>
    </xf>
    <xf numFmtId="356" fontId="10" fillId="134" borderId="0" xfId="7" applyNumberFormat="1" applyFont="1" applyFill="1" applyAlignment="1">
      <alignment horizontal="center"/>
    </xf>
    <xf numFmtId="172" fontId="0" fillId="3" borderId="69" xfId="0" applyNumberFormat="1" applyFill="1" applyBorder="1" applyAlignment="1">
      <alignment horizontal="right" vertical="top"/>
    </xf>
    <xf numFmtId="172" fontId="10" fillId="38" borderId="70" xfId="1" applyNumberFormat="1" applyFont="1" applyFill="1" applyBorder="1" applyProtection="1"/>
    <xf numFmtId="0" fontId="0" fillId="0" borderId="196" xfId="0" applyBorder="1" applyAlignment="1">
      <alignment horizontal="center" vertical="center" wrapText="1"/>
    </xf>
    <xf numFmtId="172" fontId="0" fillId="3" borderId="205" xfId="0" applyNumberFormat="1" applyFill="1" applyBorder="1" applyAlignment="1">
      <alignment horizontal="right" vertical="top"/>
    </xf>
    <xf numFmtId="172" fontId="10" fillId="38" borderId="211" xfId="1" applyNumberFormat="1" applyFont="1" applyFill="1" applyBorder="1" applyProtection="1"/>
    <xf numFmtId="172" fontId="10" fillId="38" borderId="212" xfId="1" applyNumberFormat="1" applyFont="1" applyFill="1" applyBorder="1" applyProtection="1"/>
    <xf numFmtId="172" fontId="10" fillId="38" borderId="213" xfId="1" applyNumberFormat="1" applyFont="1" applyFill="1" applyBorder="1" applyProtection="1"/>
    <xf numFmtId="0" fontId="0" fillId="0" borderId="199" xfId="0" applyBorder="1" applyAlignment="1">
      <alignment horizontal="center" vertical="center" wrapText="1"/>
    </xf>
    <xf numFmtId="172" fontId="0" fillId="3" borderId="207" xfId="0" applyNumberFormat="1" applyFill="1" applyBorder="1" applyAlignment="1">
      <alignment horizontal="right" vertical="top"/>
    </xf>
    <xf numFmtId="172" fontId="10" fillId="38" borderId="214" xfId="1" applyNumberFormat="1" applyFont="1" applyFill="1" applyBorder="1" applyProtection="1"/>
    <xf numFmtId="170" fontId="11" fillId="38" borderId="215" xfId="77" applyNumberFormat="1" applyFont="1" applyFill="1" applyBorder="1" applyProtection="1"/>
    <xf numFmtId="170" fontId="10" fillId="38" borderId="217" xfId="77" applyNumberFormat="1" applyFont="1" applyFill="1" applyBorder="1" applyProtection="1"/>
    <xf numFmtId="170" fontId="10" fillId="38" borderId="206" xfId="77" applyNumberFormat="1" applyFont="1" applyFill="1" applyBorder="1" applyProtection="1"/>
    <xf numFmtId="170" fontId="10" fillId="38" borderId="218" xfId="77" applyNumberFormat="1" applyFont="1" applyFill="1" applyBorder="1" applyProtection="1"/>
    <xf numFmtId="170" fontId="10" fillId="38" borderId="219" xfId="77" applyNumberFormat="1" applyFont="1" applyFill="1" applyBorder="1" applyProtection="1"/>
    <xf numFmtId="170" fontId="10" fillId="38" borderId="220" xfId="77" applyNumberFormat="1" applyFont="1" applyFill="1" applyBorder="1" applyProtection="1"/>
    <xf numFmtId="170" fontId="10" fillId="38" borderId="221" xfId="77" applyNumberFormat="1" applyFont="1" applyFill="1" applyBorder="1" applyProtection="1"/>
    <xf numFmtId="170" fontId="10" fillId="38" borderId="222" xfId="77" applyNumberFormat="1" applyFont="1" applyFill="1" applyBorder="1" applyProtection="1"/>
    <xf numFmtId="170" fontId="10" fillId="38" borderId="223" xfId="77" applyNumberFormat="1" applyFont="1" applyFill="1" applyBorder="1" applyProtection="1"/>
    <xf numFmtId="0" fontId="0" fillId="3" borderId="210" xfId="0" applyFill="1" applyBorder="1" applyAlignment="1">
      <alignment horizontal="left" vertical="top" indent="1"/>
    </xf>
    <xf numFmtId="172" fontId="0" fillId="3" borderId="108" xfId="0" applyNumberFormat="1" applyFill="1" applyBorder="1" applyAlignment="1">
      <alignment horizontal="right" vertical="center"/>
    </xf>
    <xf numFmtId="172" fontId="0" fillId="51" borderId="204" xfId="0" applyNumberFormat="1" applyFill="1" applyBorder="1" applyAlignment="1">
      <alignment horizontal="right" vertical="center"/>
    </xf>
    <xf numFmtId="172" fontId="0" fillId="51" borderId="224" xfId="0" applyNumberFormat="1" applyFill="1" applyBorder="1" applyAlignment="1">
      <alignment horizontal="right" vertical="center"/>
    </xf>
    <xf numFmtId="172" fontId="0" fillId="51" borderId="203" xfId="0" applyNumberFormat="1" applyFill="1" applyBorder="1" applyAlignment="1">
      <alignment horizontal="right" vertical="center"/>
    </xf>
    <xf numFmtId="0" fontId="8" fillId="0" borderId="210" xfId="0" applyFont="1" applyBorder="1" applyAlignment="1">
      <alignment horizontal="left" vertical="top" indent="1"/>
    </xf>
    <xf numFmtId="0" fontId="0" fillId="3" borderId="192" xfId="0" applyFill="1" applyBorder="1" applyAlignment="1">
      <alignment horizontal="left" vertical="top" indent="1"/>
    </xf>
    <xf numFmtId="0" fontId="0" fillId="0" borderId="193" xfId="0" applyBorder="1" applyAlignment="1" applyProtection="1">
      <alignment horizontal="center" vertical="center"/>
      <protection locked="0"/>
    </xf>
    <xf numFmtId="172" fontId="0" fillId="3" borderId="193" xfId="0" applyNumberFormat="1" applyFill="1" applyBorder="1" applyAlignment="1">
      <alignment horizontal="right" vertical="top"/>
    </xf>
    <xf numFmtId="172" fontId="0" fillId="3" borderId="194" xfId="0" applyNumberFormat="1" applyFill="1" applyBorder="1" applyAlignment="1">
      <alignment horizontal="right" vertical="top"/>
    </xf>
    <xf numFmtId="165" fontId="8" fillId="51" borderId="204" xfId="1" applyNumberFormat="1" applyFont="1" applyFill="1" applyBorder="1" applyAlignment="1">
      <alignment horizontal="right" vertical="top"/>
    </xf>
    <xf numFmtId="165" fontId="8" fillId="51" borderId="224" xfId="1" applyNumberFormat="1" applyFont="1" applyFill="1" applyBorder="1" applyAlignment="1">
      <alignment horizontal="right" vertical="top"/>
    </xf>
    <xf numFmtId="165" fontId="8" fillId="51" borderId="203" xfId="1" applyNumberFormat="1" applyFont="1" applyFill="1" applyBorder="1" applyAlignment="1">
      <alignment horizontal="right" vertical="top"/>
    </xf>
    <xf numFmtId="0" fontId="10" fillId="37" borderId="126" xfId="75" applyFont="1" applyFill="1" applyBorder="1" applyAlignment="1">
      <alignment horizontal="center" vertical="center"/>
    </xf>
    <xf numFmtId="43" fontId="0" fillId="0" borderId="0" xfId="0" applyNumberFormat="1" applyAlignment="1">
      <alignment horizontal="right" vertical="top"/>
    </xf>
    <xf numFmtId="352" fontId="0" fillId="0" borderId="0" xfId="0" applyNumberFormat="1"/>
    <xf numFmtId="0" fontId="0" fillId="0" borderId="75" xfId="0" applyBorder="1" applyAlignment="1">
      <alignment vertical="center" wrapText="1"/>
    </xf>
    <xf numFmtId="349" fontId="0" fillId="3" borderId="59" xfId="0" applyNumberFormat="1" applyFill="1" applyBorder="1" applyAlignment="1">
      <alignment horizontal="right" vertical="top"/>
    </xf>
    <xf numFmtId="349" fontId="0" fillId="52" borderId="140" xfId="0" applyNumberFormat="1" applyFill="1" applyBorder="1" applyAlignment="1">
      <alignment horizontal="right" vertical="top"/>
    </xf>
    <xf numFmtId="349" fontId="0" fillId="0" borderId="0" xfId="0" applyNumberFormat="1"/>
    <xf numFmtId="349" fontId="0" fillId="52" borderId="6" xfId="0" applyNumberFormat="1" applyFill="1" applyBorder="1"/>
    <xf numFmtId="349" fontId="0" fillId="3" borderId="59" xfId="77" applyNumberFormat="1" applyFont="1" applyFill="1" applyBorder="1" applyAlignment="1">
      <alignment horizontal="right" vertical="top"/>
    </xf>
    <xf numFmtId="349" fontId="0" fillId="52" borderId="59" xfId="0" applyNumberFormat="1" applyFill="1" applyBorder="1" applyAlignment="1">
      <alignment horizontal="right" vertical="top"/>
    </xf>
    <xf numFmtId="349" fontId="8" fillId="0" borderId="0" xfId="0" applyNumberFormat="1" applyFont="1"/>
    <xf numFmtId="0" fontId="0" fillId="0" borderId="6" xfId="0" applyBorder="1" applyAlignment="1">
      <alignment vertical="center" wrapText="1"/>
    </xf>
    <xf numFmtId="0" fontId="0" fillId="42" borderId="6" xfId="0" applyFill="1" applyBorder="1" applyAlignment="1">
      <alignment horizontal="left" vertical="center" wrapText="1" indent="1"/>
    </xf>
    <xf numFmtId="0" fontId="0" fillId="42" borderId="6" xfId="0" applyFill="1" applyBorder="1" applyAlignment="1">
      <alignment horizontal="left" vertical="top" wrapText="1" indent="1"/>
    </xf>
    <xf numFmtId="0" fontId="0" fillId="42" borderId="6" xfId="0" applyFill="1" applyBorder="1" applyAlignment="1">
      <alignment horizontal="left" vertical="top" wrapText="1"/>
    </xf>
    <xf numFmtId="0" fontId="34" fillId="42" borderId="77" xfId="92" applyFill="1" applyBorder="1" applyAlignment="1">
      <alignment horizontal="left" vertical="center" wrapText="1" indent="1"/>
    </xf>
    <xf numFmtId="0" fontId="0" fillId="42" borderId="6" xfId="0" quotePrefix="1" applyFill="1" applyBorder="1" applyAlignment="1">
      <alignment horizontal="left" vertical="top" wrapText="1"/>
    </xf>
    <xf numFmtId="172" fontId="0" fillId="52" borderId="201" xfId="0" applyNumberFormat="1" applyFill="1" applyBorder="1" applyAlignment="1">
      <alignment horizontal="right" vertical="top"/>
    </xf>
    <xf numFmtId="172" fontId="0" fillId="52" borderId="202" xfId="0" applyNumberFormat="1" applyFill="1" applyBorder="1" applyAlignment="1">
      <alignment horizontal="right" vertical="top"/>
    </xf>
    <xf numFmtId="172" fontId="0" fillId="52" borderId="203" xfId="0" applyNumberFormat="1" applyFill="1" applyBorder="1" applyAlignment="1">
      <alignment horizontal="right" vertical="top"/>
    </xf>
    <xf numFmtId="172" fontId="0" fillId="51" borderId="198" xfId="0" applyNumberFormat="1" applyFill="1" applyBorder="1" applyAlignment="1">
      <alignment horizontal="right" vertical="top"/>
    </xf>
    <xf numFmtId="172" fontId="0" fillId="51" borderId="199" xfId="0" applyNumberFormat="1" applyFill="1" applyBorder="1" applyAlignment="1">
      <alignment horizontal="right" vertical="top"/>
    </xf>
    <xf numFmtId="172" fontId="0" fillId="51" borderId="200" xfId="0" applyNumberFormat="1" applyFill="1" applyBorder="1" applyAlignment="1">
      <alignment horizontal="right" vertical="top"/>
    </xf>
    <xf numFmtId="172" fontId="0" fillId="52" borderId="192" xfId="0" applyNumberFormat="1" applyFill="1" applyBorder="1" applyAlignment="1">
      <alignment horizontal="right" vertical="top"/>
    </xf>
    <xf numFmtId="172" fontId="0" fillId="52" borderId="193" xfId="0" applyNumberFormat="1" applyFill="1" applyBorder="1" applyAlignment="1">
      <alignment horizontal="right" vertical="top"/>
    </xf>
    <xf numFmtId="172" fontId="0" fillId="52" borderId="194" xfId="0" applyNumberFormat="1" applyFill="1" applyBorder="1" applyAlignment="1">
      <alignment horizontal="right" vertical="top"/>
    </xf>
    <xf numFmtId="0" fontId="0" fillId="0" borderId="77" xfId="0" applyBorder="1" applyAlignment="1">
      <alignment vertical="center"/>
    </xf>
    <xf numFmtId="0" fontId="0" fillId="0" borderId="74" xfId="0" applyBorder="1" applyAlignment="1">
      <alignment vertical="center"/>
    </xf>
    <xf numFmtId="0" fontId="0" fillId="0" borderId="187" xfId="0" applyBorder="1" applyAlignment="1">
      <alignment vertical="center" wrapText="1"/>
    </xf>
    <xf numFmtId="172" fontId="10" fillId="38" borderId="143" xfId="1" applyNumberFormat="1" applyFont="1" applyFill="1" applyBorder="1" applyProtection="1"/>
    <xf numFmtId="172" fontId="0" fillId="52" borderId="126" xfId="0" applyNumberFormat="1" applyFill="1" applyBorder="1" applyAlignment="1">
      <alignment horizontal="right" vertical="top"/>
    </xf>
    <xf numFmtId="172" fontId="0" fillId="52" borderId="225" xfId="0" applyNumberFormat="1" applyFill="1" applyBorder="1" applyAlignment="1">
      <alignment horizontal="right" vertical="top"/>
    </xf>
    <xf numFmtId="172" fontId="0" fillId="52" borderId="226" xfId="0" applyNumberFormat="1" applyFill="1" applyBorder="1" applyAlignment="1">
      <alignment horizontal="right" vertical="top"/>
    </xf>
    <xf numFmtId="172" fontId="0" fillId="52" borderId="227" xfId="0" applyNumberFormat="1" applyFill="1" applyBorder="1" applyAlignment="1">
      <alignment horizontal="right" vertical="top"/>
    </xf>
    <xf numFmtId="172" fontId="0" fillId="52" borderId="220" xfId="0" applyNumberFormat="1" applyFill="1" applyBorder="1" applyAlignment="1">
      <alignment horizontal="right" vertical="top"/>
    </xf>
    <xf numFmtId="172" fontId="0" fillId="52" borderId="228" xfId="0" applyNumberFormat="1" applyFill="1" applyBorder="1" applyAlignment="1">
      <alignment horizontal="right" vertical="top"/>
    </xf>
    <xf numFmtId="172" fontId="0" fillId="52" borderId="229" xfId="0" applyNumberFormat="1" applyFill="1" applyBorder="1" applyAlignment="1">
      <alignment horizontal="right" vertical="top"/>
    </xf>
    <xf numFmtId="172" fontId="0" fillId="3" borderId="77" xfId="0" applyNumberFormat="1" applyFill="1" applyBorder="1" applyAlignment="1">
      <alignment horizontal="right" vertical="top"/>
    </xf>
    <xf numFmtId="165" fontId="10" fillId="51" borderId="201" xfId="1" applyNumberFormat="1" applyFont="1" applyFill="1" applyBorder="1"/>
    <xf numFmtId="165" fontId="10" fillId="51" borderId="202" xfId="1" applyNumberFormat="1" applyFont="1" applyFill="1" applyBorder="1"/>
    <xf numFmtId="165" fontId="10" fillId="51" borderId="203" xfId="1" applyNumberFormat="1" applyFont="1" applyFill="1" applyBorder="1"/>
    <xf numFmtId="165" fontId="0" fillId="51" borderId="6" xfId="1" applyNumberFormat="1" applyFont="1" applyFill="1" applyBorder="1" applyAlignment="1">
      <alignment horizontal="right" vertical="top"/>
    </xf>
    <xf numFmtId="0" fontId="0" fillId="0" borderId="74" xfId="0" applyBorder="1" applyAlignment="1">
      <alignment vertical="center" wrapText="1"/>
    </xf>
    <xf numFmtId="0" fontId="0" fillId="0" borderId="6" xfId="0" applyBorder="1" applyAlignment="1">
      <alignment vertical="center"/>
    </xf>
    <xf numFmtId="0" fontId="0" fillId="0" borderId="6" xfId="0" applyBorder="1" applyAlignment="1">
      <alignment horizontal="left" wrapText="1"/>
    </xf>
    <xf numFmtId="173" fontId="11" fillId="38" borderId="71" xfId="1" applyNumberFormat="1" applyFont="1" applyFill="1" applyBorder="1"/>
    <xf numFmtId="170" fontId="11" fillId="38" borderId="216" xfId="77" applyNumberFormat="1" applyFont="1" applyFill="1" applyBorder="1" applyProtection="1"/>
    <xf numFmtId="0" fontId="0" fillId="0" borderId="0" xfId="0" applyAlignment="1">
      <alignment horizontal="center"/>
    </xf>
    <xf numFmtId="0" fontId="0" fillId="0" borderId="103" xfId="0" applyBorder="1" applyAlignment="1">
      <alignment horizontal="left" vertical="center" wrapText="1" indent="1"/>
    </xf>
    <xf numFmtId="0" fontId="0" fillId="0" borderId="80" xfId="0" applyBorder="1" applyAlignment="1">
      <alignment horizontal="left" vertical="center" wrapText="1" indent="1"/>
    </xf>
    <xf numFmtId="3" fontId="0" fillId="0" borderId="139"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1" xfId="0" applyBorder="1" applyAlignment="1">
      <alignment horizontal="left" vertical="center" wrapText="1" indent="1"/>
    </xf>
    <xf numFmtId="0" fontId="0" fillId="0" borderId="81" xfId="0" applyBorder="1" applyAlignment="1">
      <alignment horizontal="left" vertical="center" wrapText="1" indent="1"/>
    </xf>
    <xf numFmtId="0" fontId="0" fillId="0" borderId="139" xfId="0" applyBorder="1" applyAlignment="1">
      <alignment vertical="center" wrapText="1"/>
    </xf>
    <xf numFmtId="0" fontId="0" fillId="0" borderId="28" xfId="0" applyBorder="1" applyAlignment="1">
      <alignment vertical="center" wrapText="1"/>
    </xf>
    <xf numFmtId="0" fontId="0" fillId="0" borderId="143" xfId="0" applyBorder="1" applyAlignment="1">
      <alignment vertical="center" wrapText="1"/>
    </xf>
    <xf numFmtId="0" fontId="0" fillId="0" borderId="139" xfId="0" applyBorder="1" applyAlignment="1">
      <alignment horizontal="center" vertical="center" wrapText="1"/>
    </xf>
    <xf numFmtId="0" fontId="0" fillId="0" borderId="6" xfId="0" applyBorder="1" applyAlignment="1">
      <alignment horizontal="center" vertical="center" wrapText="1"/>
    </xf>
    <xf numFmtId="0" fontId="0" fillId="0" borderId="105" xfId="0" applyBorder="1" applyAlignment="1">
      <alignment horizontal="left" vertical="center" wrapText="1" indent="1"/>
    </xf>
    <xf numFmtId="0" fontId="0" fillId="0" borderId="79" xfId="0"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43" xfId="0" applyBorder="1" applyAlignment="1">
      <alignment horizontal="center" vertical="center" wrapText="1"/>
    </xf>
    <xf numFmtId="0" fontId="0" fillId="0" borderId="183" xfId="0" applyBorder="1" applyAlignment="1">
      <alignment horizontal="left" vertical="center" wrapText="1" indent="1"/>
    </xf>
    <xf numFmtId="0" fontId="0" fillId="0" borderId="184" xfId="0" applyBorder="1" applyAlignment="1">
      <alignment horizontal="left" vertical="center" wrapText="1" indent="1"/>
    </xf>
    <xf numFmtId="0" fontId="0" fillId="0" borderId="103" xfId="0" applyBorder="1" applyAlignment="1">
      <alignment horizontal="left" vertical="center" wrapText="1"/>
    </xf>
    <xf numFmtId="0" fontId="0" fillId="0" borderId="80" xfId="0" applyBorder="1" applyAlignment="1">
      <alignment horizontal="left" vertical="center" wrapText="1"/>
    </xf>
    <xf numFmtId="0" fontId="0" fillId="0" borderId="101" xfId="0" applyBorder="1" applyAlignment="1">
      <alignment horizontal="left" vertical="center" wrapText="1"/>
    </xf>
    <xf numFmtId="0" fontId="0" fillId="0" borderId="81" xfId="0" applyBorder="1" applyAlignment="1">
      <alignment horizontal="left" vertical="center" wrapText="1"/>
    </xf>
    <xf numFmtId="0" fontId="0" fillId="0" borderId="105" xfId="0" applyBorder="1" applyAlignment="1">
      <alignment horizontal="left" vertical="center" wrapText="1"/>
    </xf>
    <xf numFmtId="0" fontId="0" fillId="0" borderId="79" xfId="0" applyBorder="1" applyAlignment="1">
      <alignment horizontal="left" vertical="center" wrapText="1"/>
    </xf>
    <xf numFmtId="1" fontId="8" fillId="0" borderId="164" xfId="0" applyNumberFormat="1" applyFont="1" applyBorder="1" applyAlignment="1">
      <alignment horizontal="center" vertical="center"/>
    </xf>
    <xf numFmtId="1" fontId="8" fillId="0" borderId="165" xfId="0" applyNumberFormat="1" applyFont="1" applyBorder="1" applyAlignment="1">
      <alignment horizontal="center" vertical="center"/>
    </xf>
    <xf numFmtId="1" fontId="8" fillId="0" borderId="166" xfId="0" applyNumberFormat="1" applyFont="1" applyBorder="1" applyAlignment="1">
      <alignment horizontal="center" vertical="center"/>
    </xf>
    <xf numFmtId="0" fontId="0" fillId="0" borderId="181" xfId="0" applyBorder="1" applyAlignment="1">
      <alignment horizontal="center" vertical="center" wrapText="1"/>
    </xf>
    <xf numFmtId="0" fontId="0" fillId="0" borderId="182" xfId="0" applyBorder="1" applyAlignment="1">
      <alignment horizontal="center" vertical="center" wrapText="1"/>
    </xf>
    <xf numFmtId="173" fontId="0" fillId="119" borderId="105" xfId="0" applyNumberFormat="1" applyFill="1" applyBorder="1" applyAlignment="1">
      <alignment horizontal="center"/>
    </xf>
    <xf numFmtId="173" fontId="0" fillId="119" borderId="99" xfId="0" applyNumberFormat="1" applyFill="1" applyBorder="1" applyAlignment="1">
      <alignment horizontal="center"/>
    </xf>
    <xf numFmtId="173" fontId="0" fillId="119" borderId="61" xfId="0" applyNumberFormat="1" applyFill="1" applyBorder="1" applyAlignment="1">
      <alignment horizontal="center"/>
    </xf>
    <xf numFmtId="0" fontId="0" fillId="53" borderId="0" xfId="0" applyFill="1" applyAlignment="1">
      <alignment horizontal="left" wrapText="1"/>
    </xf>
    <xf numFmtId="0" fontId="0" fillId="0" borderId="105" xfId="0" applyBorder="1" applyAlignment="1">
      <alignment vertical="center" wrapText="1"/>
    </xf>
    <xf numFmtId="0" fontId="0" fillId="0" borderId="84" xfId="0"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0" fillId="0" borderId="96" xfId="0" applyBorder="1" applyAlignment="1">
      <alignment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88" xfId="0" applyFill="1" applyBorder="1" applyAlignment="1">
      <alignment horizontal="left" vertical="top" wrapText="1"/>
    </xf>
    <xf numFmtId="0" fontId="0" fillId="3" borderId="21" xfId="0" applyFill="1" applyBorder="1" applyAlignment="1">
      <alignment wrapText="1"/>
    </xf>
    <xf numFmtId="0" fontId="0" fillId="3" borderId="189" xfId="0" applyFill="1" applyBorder="1" applyAlignment="1">
      <alignment wrapText="1"/>
    </xf>
    <xf numFmtId="0" fontId="0" fillId="3" borderId="0" xfId="0" applyFill="1" applyAlignment="1">
      <alignment horizontal="left" vertical="top" indent="1"/>
    </xf>
    <xf numFmtId="0" fontId="7" fillId="42" borderId="139" xfId="78" applyFont="1" applyFill="1" applyBorder="1" applyAlignment="1" applyProtection="1">
      <alignment horizontal="center" vertical="center"/>
      <protection locked="0"/>
    </xf>
    <xf numFmtId="0" fontId="7" fillId="42" borderId="28" xfId="78" applyFont="1" applyFill="1" applyBorder="1" applyAlignment="1" applyProtection="1">
      <alignment horizontal="center" vertical="center"/>
      <protection locked="0"/>
    </xf>
    <xf numFmtId="0" fontId="7" fillId="42" borderId="143" xfId="78" applyFont="1" applyFill="1" applyBorder="1" applyAlignment="1" applyProtection="1">
      <alignment horizontal="center" vertical="center"/>
      <protection locked="0"/>
    </xf>
    <xf numFmtId="0" fontId="7" fillId="0" borderId="139" xfId="78" applyFont="1" applyBorder="1" applyAlignment="1" applyProtection="1">
      <alignment horizontal="center" vertical="center"/>
      <protection locked="0"/>
    </xf>
    <xf numFmtId="0" fontId="7" fillId="0" borderId="28" xfId="78" applyFont="1" applyBorder="1" applyAlignment="1" applyProtection="1">
      <alignment horizontal="center" vertical="center"/>
      <protection locked="0"/>
    </xf>
    <xf numFmtId="0" fontId="7" fillId="0" borderId="143" xfId="78" applyFont="1" applyBorder="1" applyAlignment="1" applyProtection="1">
      <alignment horizontal="center" vertical="center"/>
      <protection locked="0"/>
    </xf>
    <xf numFmtId="0" fontId="10" fillId="0" borderId="142" xfId="85" applyFont="1" applyBorder="1" applyAlignment="1">
      <alignment horizontal="left" vertical="center" wrapText="1"/>
    </xf>
    <xf numFmtId="0" fontId="10" fillId="0" borderId="21" xfId="85" applyFont="1" applyBorder="1" applyAlignment="1">
      <alignment horizontal="left" vertical="center" wrapText="1"/>
    </xf>
    <xf numFmtId="0" fontId="10" fillId="0" borderId="189" xfId="85" applyFont="1" applyBorder="1" applyAlignment="1">
      <alignment horizontal="left" vertical="center" wrapText="1"/>
    </xf>
    <xf numFmtId="0" fontId="10" fillId="0" borderId="93" xfId="85" applyFont="1" applyBorder="1" applyAlignment="1">
      <alignment horizontal="left" vertical="center" wrapText="1"/>
    </xf>
    <xf numFmtId="0" fontId="10" fillId="0" borderId="150" xfId="85" applyFont="1" applyBorder="1" applyAlignment="1">
      <alignment horizontal="left" vertical="center" wrapText="1"/>
    </xf>
    <xf numFmtId="0" fontId="10" fillId="0" borderId="91" xfId="85" applyFont="1" applyBorder="1" applyAlignment="1">
      <alignment horizontal="left" vertical="center" wrapText="1"/>
    </xf>
    <xf numFmtId="175" fontId="10" fillId="44" borderId="105" xfId="85" applyNumberFormat="1" applyFont="1" applyFill="1" applyBorder="1" applyAlignment="1">
      <alignment horizontal="left" indent="1"/>
    </xf>
    <xf numFmtId="175" fontId="10" fillId="44" borderId="84" xfId="85" applyNumberFormat="1" applyFont="1" applyFill="1" applyBorder="1" applyAlignment="1">
      <alignment horizontal="left" indent="1"/>
    </xf>
    <xf numFmtId="175" fontId="10" fillId="44" borderId="100" xfId="85" applyNumberFormat="1" applyFont="1" applyFill="1" applyBorder="1" applyAlignment="1">
      <alignment horizontal="left" indent="1"/>
    </xf>
    <xf numFmtId="0" fontId="10" fillId="51" borderId="99" xfId="85" applyFont="1" applyFill="1" applyBorder="1" applyAlignment="1" applyProtection="1">
      <alignment horizontal="left" indent="1"/>
      <protection locked="0"/>
    </xf>
    <xf numFmtId="0" fontId="10" fillId="51" borderId="84" xfId="85" applyFont="1" applyFill="1" applyBorder="1" applyAlignment="1" applyProtection="1">
      <alignment horizontal="left" indent="1"/>
      <protection locked="0"/>
    </xf>
    <xf numFmtId="0" fontId="10" fillId="51" borderId="100" xfId="85" applyFont="1" applyFill="1" applyBorder="1" applyAlignment="1" applyProtection="1">
      <alignment horizontal="left" indent="1"/>
      <protection locked="0"/>
    </xf>
    <xf numFmtId="167" fontId="7" fillId="51" borderId="95" xfId="48239" applyFill="1" applyBorder="1" applyAlignment="1">
      <alignment horizontal="left"/>
      <protection locked="0"/>
    </xf>
    <xf numFmtId="167" fontId="7" fillId="51" borderId="102" xfId="48239" applyFill="1" applyBorder="1" applyAlignment="1">
      <alignment horizontal="left"/>
      <protection locked="0"/>
    </xf>
    <xf numFmtId="167" fontId="7" fillId="51" borderId="96" xfId="48239" applyFill="1" applyBorder="1" applyAlignment="1">
      <alignment horizontal="left"/>
      <protection locked="0"/>
    </xf>
    <xf numFmtId="0" fontId="10" fillId="0" borderId="92" xfId="85" applyFont="1" applyBorder="1" applyAlignment="1">
      <alignment horizontal="left" vertical="center" wrapText="1"/>
    </xf>
    <xf numFmtId="0" fontId="10" fillId="0" borderId="0" xfId="85" applyFont="1" applyAlignment="1">
      <alignment horizontal="center"/>
    </xf>
    <xf numFmtId="0" fontId="10" fillId="0" borderId="0" xfId="84" applyFont="1" applyAlignment="1"/>
    <xf numFmtId="0" fontId="10" fillId="0" borderId="187" xfId="85" applyFont="1" applyBorder="1" applyAlignment="1">
      <alignment horizontal="center" vertical="center"/>
    </xf>
    <xf numFmtId="0" fontId="10" fillId="0" borderId="126" xfId="85" applyFont="1" applyBorder="1" applyAlignment="1">
      <alignment horizontal="center" vertical="center"/>
    </xf>
    <xf numFmtId="0" fontId="10" fillId="0" borderId="188" xfId="85" applyFont="1" applyBorder="1" applyAlignment="1">
      <alignment horizontal="left" vertical="center" indent="1"/>
    </xf>
    <xf numFmtId="0" fontId="10" fillId="0" borderId="21" xfId="85" applyFont="1" applyBorder="1" applyAlignment="1">
      <alignment horizontal="left" vertical="center" indent="1"/>
    </xf>
    <xf numFmtId="0" fontId="10" fillId="0" borderId="189" xfId="85" applyFont="1" applyBorder="1" applyAlignment="1">
      <alignment horizontal="left" vertical="center" indent="1"/>
    </xf>
    <xf numFmtId="0" fontId="10" fillId="0" borderId="90" xfId="85" applyFont="1" applyBorder="1" applyAlignment="1">
      <alignment horizontal="left" vertical="center" indent="1"/>
    </xf>
    <xf numFmtId="0" fontId="10" fillId="0" borderId="150" xfId="85" applyFont="1" applyBorder="1" applyAlignment="1">
      <alignment horizontal="left" vertical="center" indent="1"/>
    </xf>
    <xf numFmtId="0" fontId="10" fillId="0" borderId="91" xfId="85" applyFont="1" applyBorder="1" applyAlignment="1">
      <alignment horizontal="left" vertical="center" indent="1"/>
    </xf>
    <xf numFmtId="0" fontId="10" fillId="51" borderId="97" xfId="85" applyFont="1" applyFill="1" applyBorder="1" applyAlignment="1" applyProtection="1">
      <alignment horizontal="left"/>
      <protection locked="0"/>
    </xf>
    <xf numFmtId="0" fontId="0" fillId="0" borderId="104" xfId="0" applyBorder="1" applyAlignment="1">
      <alignment horizontal="left"/>
    </xf>
    <xf numFmtId="0" fontId="0" fillId="0" borderId="98" xfId="0" applyBorder="1" applyAlignment="1">
      <alignment horizontal="left"/>
    </xf>
    <xf numFmtId="0" fontId="10" fillId="51" borderId="104" xfId="85" applyFont="1" applyFill="1" applyBorder="1" applyAlignment="1" applyProtection="1">
      <alignment horizontal="left"/>
      <protection locked="0"/>
    </xf>
    <xf numFmtId="0" fontId="10" fillId="51" borderId="98" xfId="85" applyFont="1" applyFill="1" applyBorder="1" applyAlignment="1" applyProtection="1">
      <alignment horizontal="left"/>
      <protection locked="0"/>
    </xf>
    <xf numFmtId="0" fontId="10" fillId="3" borderId="97" xfId="85" applyFont="1" applyFill="1" applyBorder="1" applyAlignment="1" applyProtection="1">
      <alignment horizontal="left"/>
      <protection locked="0"/>
    </xf>
    <xf numFmtId="0" fontId="10" fillId="3" borderId="104" xfId="85" applyFont="1" applyFill="1" applyBorder="1" applyAlignment="1" applyProtection="1">
      <alignment horizontal="left"/>
      <protection locked="0"/>
    </xf>
    <xf numFmtId="0" fontId="10" fillId="3" borderId="82" xfId="85" applyFont="1" applyFill="1" applyBorder="1" applyAlignment="1" applyProtection="1">
      <alignment horizontal="left"/>
      <protection locked="0"/>
    </xf>
    <xf numFmtId="0" fontId="10" fillId="3" borderId="63" xfId="85" applyFont="1" applyFill="1" applyBorder="1" applyAlignment="1" applyProtection="1">
      <alignment horizontal="left" indent="1"/>
      <protection locked="0"/>
    </xf>
    <xf numFmtId="0" fontId="10" fillId="3" borderId="64" xfId="85" applyFont="1" applyFill="1" applyBorder="1" applyAlignment="1" applyProtection="1">
      <alignment horizontal="left" indent="1"/>
      <protection locked="0"/>
    </xf>
    <xf numFmtId="0" fontId="10" fillId="3" borderId="97" xfId="85" applyFont="1" applyFill="1" applyBorder="1" applyAlignment="1" applyProtection="1">
      <alignment horizontal="left" indent="1"/>
      <protection locked="0"/>
    </xf>
    <xf numFmtId="0" fontId="10" fillId="3" borderId="104" xfId="85" applyFont="1" applyFill="1" applyBorder="1" applyAlignment="1" applyProtection="1">
      <alignment horizontal="left" indent="1"/>
      <protection locked="0"/>
    </xf>
    <xf numFmtId="0" fontId="10" fillId="3" borderId="82" xfId="85" applyFont="1" applyFill="1" applyBorder="1" applyAlignment="1" applyProtection="1">
      <alignment horizontal="left" indent="1"/>
      <protection locked="0"/>
    </xf>
    <xf numFmtId="0" fontId="10" fillId="0" borderId="142" xfId="85" applyFont="1" applyBorder="1" applyAlignment="1">
      <alignment horizontal="left" vertical="center" wrapText="1" indent="1"/>
    </xf>
    <xf numFmtId="0" fontId="10" fillId="0" borderId="21" xfId="85" applyFont="1" applyBorder="1" applyAlignment="1">
      <alignment horizontal="left" vertical="center" wrapText="1" indent="1"/>
    </xf>
    <xf numFmtId="0" fontId="10" fillId="0" borderId="190" xfId="85" applyFont="1" applyBorder="1" applyAlignment="1">
      <alignment horizontal="left" vertical="center" wrapText="1" indent="1"/>
    </xf>
    <xf numFmtId="0" fontId="10" fillId="0" borderId="93" xfId="85" applyFont="1" applyBorder="1" applyAlignment="1">
      <alignment horizontal="left" vertical="center" wrapText="1" indent="1"/>
    </xf>
    <xf numFmtId="0" fontId="10" fillId="0" borderId="150" xfId="85" applyFont="1" applyBorder="1" applyAlignment="1">
      <alignment horizontal="left" vertical="center" wrapText="1" indent="1"/>
    </xf>
    <xf numFmtId="0" fontId="10" fillId="0" borderId="94" xfId="85" applyFont="1" applyBorder="1" applyAlignment="1">
      <alignment horizontal="left" vertical="center" wrapText="1" indent="1"/>
    </xf>
    <xf numFmtId="0" fontId="10" fillId="3" borderId="99" xfId="85" applyFont="1" applyFill="1" applyBorder="1" applyAlignment="1" applyProtection="1">
      <alignment horizontal="left" indent="1"/>
      <protection locked="0"/>
    </xf>
    <xf numFmtId="0" fontId="10" fillId="3" borderId="84" xfId="85" applyFont="1" applyFill="1" applyBorder="1" applyAlignment="1" applyProtection="1">
      <alignment horizontal="left" indent="1"/>
      <protection locked="0"/>
    </xf>
    <xf numFmtId="0" fontId="10" fillId="3" borderId="86" xfId="85" applyFont="1" applyFill="1" applyBorder="1" applyAlignment="1" applyProtection="1">
      <alignment horizontal="left" indent="1"/>
      <protection locked="0"/>
    </xf>
    <xf numFmtId="0" fontId="11" fillId="0" borderId="99" xfId="85" applyFont="1" applyBorder="1" applyAlignment="1">
      <alignment horizontal="left"/>
    </xf>
    <xf numFmtId="0" fontId="11" fillId="0" borderId="84" xfId="85" applyFont="1" applyBorder="1" applyAlignment="1">
      <alignment horizontal="left"/>
    </xf>
    <xf numFmtId="0" fontId="11" fillId="0" borderId="100" xfId="85" applyFont="1" applyBorder="1" applyAlignment="1">
      <alignment horizontal="left"/>
    </xf>
    <xf numFmtId="14" fontId="10" fillId="3" borderId="85" xfId="85" applyNumberFormat="1" applyFont="1" applyFill="1" applyBorder="1" applyAlignment="1" applyProtection="1">
      <alignment horizontal="left" indent="1"/>
      <protection locked="0"/>
    </xf>
    <xf numFmtId="167" fontId="7" fillId="3" borderId="95" xfId="48239" applyBorder="1" applyAlignment="1">
      <alignment horizontal="left" vertical="center"/>
      <protection locked="0"/>
    </xf>
    <xf numFmtId="167" fontId="7" fillId="3" borderId="102" xfId="48239" applyBorder="1" applyAlignment="1">
      <alignment horizontal="left" vertical="center"/>
      <protection locked="0"/>
    </xf>
    <xf numFmtId="167" fontId="7" fillId="3" borderId="96" xfId="48239" applyBorder="1" applyAlignment="1">
      <alignment horizontal="left" vertical="center"/>
      <protection locked="0"/>
    </xf>
    <xf numFmtId="167" fontId="7" fillId="3" borderId="90" xfId="48239" applyBorder="1" applyAlignment="1">
      <alignment horizontal="left" vertical="center"/>
      <protection locked="0"/>
    </xf>
    <xf numFmtId="167" fontId="7" fillId="3" borderId="150" xfId="48239" applyBorder="1" applyAlignment="1">
      <alignment horizontal="left" vertical="center"/>
      <protection locked="0"/>
    </xf>
    <xf numFmtId="167" fontId="7" fillId="3" borderId="91" xfId="48239" applyBorder="1" applyAlignment="1">
      <alignment horizontal="left" vertical="center"/>
      <protection locked="0"/>
    </xf>
    <xf numFmtId="0" fontId="11" fillId="0" borderId="99" xfId="85" applyFont="1" applyBorder="1" applyAlignment="1">
      <alignment horizontal="left" indent="1"/>
    </xf>
    <xf numFmtId="0" fontId="11" fillId="0" borderId="84" xfId="85" applyFont="1" applyBorder="1" applyAlignment="1">
      <alignment horizontal="left" indent="1"/>
    </xf>
    <xf numFmtId="0" fontId="11" fillId="0" borderId="100" xfId="85" applyFont="1" applyBorder="1" applyAlignment="1">
      <alignment horizontal="left" indent="1"/>
    </xf>
    <xf numFmtId="0" fontId="10" fillId="0" borderId="0" xfId="85" applyFont="1" applyAlignment="1">
      <alignment horizontal="left" vertical="center" wrapText="1"/>
    </xf>
    <xf numFmtId="0" fontId="11" fillId="0" borderId="0" xfId="85" applyFont="1" applyAlignment="1">
      <alignment horizontal="left" vertical="center" wrapText="1"/>
    </xf>
    <xf numFmtId="168" fontId="10" fillId="3" borderId="103" xfId="0" applyNumberFormat="1" applyFont="1" applyFill="1" applyBorder="1" applyAlignment="1">
      <alignment horizontal="left" vertical="center" indent="1"/>
    </xf>
    <xf numFmtId="168" fontId="10" fillId="3" borderId="104" xfId="0" applyNumberFormat="1" applyFont="1" applyFill="1" applyBorder="1" applyAlignment="1">
      <alignment horizontal="left" vertical="center" indent="1"/>
    </xf>
    <xf numFmtId="168" fontId="10" fillId="3" borderId="98" xfId="0" applyNumberFormat="1" applyFont="1" applyFill="1" applyBorder="1" applyAlignment="1">
      <alignment horizontal="left" vertical="center" indent="1"/>
    </xf>
    <xf numFmtId="0" fontId="10" fillId="3" borderId="59" xfId="85" applyFont="1" applyFill="1" applyBorder="1" applyAlignment="1" applyProtection="1">
      <alignment horizontal="left" vertical="top" wrapText="1" indent="1"/>
      <protection locked="0"/>
    </xf>
    <xf numFmtId="0" fontId="10" fillId="3" borderId="60" xfId="85" applyFont="1" applyFill="1" applyBorder="1" applyAlignment="1" applyProtection="1">
      <alignment horizontal="left" vertical="top" wrapText="1" indent="1"/>
      <protection locked="0"/>
    </xf>
    <xf numFmtId="0" fontId="10" fillId="3" borderId="61" xfId="85" applyFont="1" applyFill="1" applyBorder="1" applyAlignment="1" applyProtection="1">
      <alignment horizontal="left" vertical="top" wrapText="1" indent="1"/>
      <protection locked="0"/>
    </xf>
    <xf numFmtId="0" fontId="10" fillId="0" borderId="141" xfId="85" applyFont="1" applyBorder="1" applyAlignment="1">
      <alignment horizontal="center" vertical="center" wrapText="1"/>
    </xf>
    <xf numFmtId="0" fontId="10" fillId="0" borderId="109" xfId="85" applyFont="1" applyBorder="1" applyAlignment="1">
      <alignment horizontal="center" vertical="center" wrapText="1"/>
    </xf>
    <xf numFmtId="0" fontId="248" fillId="116" borderId="0" xfId="0" applyFont="1" applyFill="1" applyAlignment="1">
      <alignment horizontal="left" vertical="top" wrapText="1"/>
    </xf>
    <xf numFmtId="0" fontId="287" fillId="137" borderId="187" xfId="51695" applyFont="1" applyFill="1" applyBorder="1" applyAlignment="1">
      <alignment horizontal="center" vertical="center" wrapText="1"/>
    </xf>
    <xf numFmtId="0" fontId="287" fillId="137" borderId="126" xfId="51695" applyFont="1" applyFill="1" applyBorder="1" applyAlignment="1">
      <alignment horizontal="center" vertical="center" wrapText="1"/>
    </xf>
    <xf numFmtId="0" fontId="2" fillId="0" borderId="139" xfId="51695" applyBorder="1" applyAlignment="1">
      <alignment horizontal="left"/>
    </xf>
    <xf numFmtId="0" fontId="2" fillId="0" borderId="143" xfId="51695" applyBorder="1" applyAlignment="1">
      <alignment horizontal="left"/>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48" fillId="116" borderId="150" xfId="0" applyFont="1" applyFill="1" applyBorder="1" applyAlignment="1">
      <alignment horizontal="left" vertical="top" wrapText="1"/>
    </xf>
    <xf numFmtId="0" fontId="287" fillId="137" borderId="21" xfId="51695" applyFont="1" applyFill="1" applyBorder="1" applyAlignment="1">
      <alignment horizontal="center" vertical="center" wrapText="1"/>
    </xf>
    <xf numFmtId="0" fontId="287" fillId="137" borderId="189" xfId="51695" applyFont="1" applyFill="1" applyBorder="1" applyAlignment="1">
      <alignment horizontal="center" vertical="center" wrapText="1"/>
    </xf>
    <xf numFmtId="0" fontId="287" fillId="137" borderId="150" xfId="51695" applyFont="1" applyFill="1" applyBorder="1" applyAlignment="1">
      <alignment horizontal="center" vertical="center" wrapText="1"/>
    </xf>
    <xf numFmtId="0" fontId="287" fillId="137" borderId="91" xfId="51695" applyFont="1" applyFill="1" applyBorder="1" applyAlignment="1">
      <alignment horizontal="center" vertical="center" wrapText="1"/>
    </xf>
    <xf numFmtId="0" fontId="289" fillId="137" borderId="187" xfId="51695" applyFont="1" applyFill="1" applyBorder="1" applyAlignment="1">
      <alignment horizontal="center" vertical="center" wrapText="1"/>
    </xf>
    <xf numFmtId="0" fontId="289" fillId="137" borderId="126" xfId="51695" applyFont="1" applyFill="1" applyBorder="1" applyAlignment="1">
      <alignment horizontal="center" vertical="center" wrapText="1"/>
    </xf>
    <xf numFmtId="173" fontId="2" fillId="0" borderId="6" xfId="51695" applyNumberFormat="1" applyBorder="1" applyAlignment="1">
      <alignment horizontal="left"/>
    </xf>
    <xf numFmtId="0" fontId="289" fillId="0" borderId="10" xfId="51695" applyFont="1" applyBorder="1" applyAlignment="1">
      <alignment horizontal="left"/>
    </xf>
    <xf numFmtId="0" fontId="289" fillId="0" borderId="11" xfId="51695" applyFont="1" applyBorder="1" applyAlignment="1">
      <alignment horizontal="left"/>
    </xf>
    <xf numFmtId="0" fontId="290" fillId="0" borderId="90" xfId="51695" applyFont="1" applyBorder="1" applyAlignment="1">
      <alignment horizontal="left" vertical="center"/>
    </xf>
    <xf numFmtId="0" fontId="290" fillId="0" borderId="91" xfId="51695" applyFont="1" applyBorder="1" applyAlignment="1">
      <alignment horizontal="left" vertical="center"/>
    </xf>
    <xf numFmtId="0" fontId="2" fillId="0" borderId="10" xfId="51695" applyBorder="1" applyAlignment="1">
      <alignment horizontal="center"/>
    </xf>
    <xf numFmtId="0" fontId="2" fillId="0" borderId="11" xfId="51695" applyBorder="1" applyAlignment="1">
      <alignment horizontal="center"/>
    </xf>
    <xf numFmtId="0" fontId="287" fillId="52" borderId="139" xfId="51695" applyFont="1" applyFill="1" applyBorder="1" applyAlignment="1">
      <alignment horizontal="left" vertical="center"/>
    </xf>
    <xf numFmtId="0" fontId="287" fillId="52" borderId="143" xfId="51695" applyFont="1" applyFill="1" applyBorder="1" applyAlignment="1">
      <alignment horizontal="left" vertical="center"/>
    </xf>
    <xf numFmtId="0" fontId="0" fillId="136" borderId="139" xfId="0" applyFill="1" applyBorder="1" applyAlignment="1">
      <alignment horizontal="center"/>
    </xf>
    <xf numFmtId="0" fontId="0" fillId="136" borderId="28" xfId="0" applyFill="1" applyBorder="1" applyAlignment="1">
      <alignment horizontal="center"/>
    </xf>
    <xf numFmtId="0" fontId="0" fillId="136" borderId="143" xfId="0" applyFill="1" applyBorder="1" applyAlignment="1">
      <alignment horizontal="center"/>
    </xf>
    <xf numFmtId="0" fontId="0" fillId="3" borderId="21" xfId="0" applyFill="1" applyBorder="1" applyAlignment="1">
      <alignment horizontal="left" vertical="top" wrapText="1"/>
    </xf>
    <xf numFmtId="0" fontId="0" fillId="3" borderId="189" xfId="0" applyFill="1" applyBorder="1" applyAlignment="1">
      <alignment horizontal="left" vertical="top" wrapText="1"/>
    </xf>
    <xf numFmtId="0" fontId="0" fillId="53" borderId="187" xfId="0" applyFill="1" applyBorder="1" applyAlignment="1">
      <alignment horizontal="center" vertical="top" wrapText="1"/>
    </xf>
    <xf numFmtId="0" fontId="0" fillId="53" borderId="185" xfId="0" applyFill="1" applyBorder="1" applyAlignment="1">
      <alignment horizontal="center" vertical="top" wrapText="1"/>
    </xf>
    <xf numFmtId="0" fontId="0" fillId="53" borderId="126" xfId="0" applyFill="1" applyBorder="1" applyAlignment="1">
      <alignment horizontal="center" vertical="top" wrapText="1"/>
    </xf>
  </cellXfs>
  <cellStyles count="5169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3" xfId="2910" xr:uid="{00000000-0005-0000-0000-0000380C0000}"/>
    <cellStyle name="Comma 2 13 2" xfId="50294" xr:uid="{00000000-0005-0000-0000-0000390C0000}"/>
    <cellStyle name="Comma 2 13 3" xfId="48464" xr:uid="{00000000-0005-0000-0000-00003A0C0000}"/>
    <cellStyle name="Comma 2 14" xfId="2911" xr:uid="{00000000-0005-0000-0000-00003B0C0000}"/>
    <cellStyle name="Comma 2 14 2" xfId="50295" xr:uid="{00000000-0005-0000-0000-00003C0C0000}"/>
    <cellStyle name="Comma 2 14 3" xfId="48465" xr:uid="{00000000-0005-0000-0000-00003D0C0000}"/>
    <cellStyle name="Comma 2 15" xfId="2912" xr:uid="{00000000-0005-0000-0000-00003E0C0000}"/>
    <cellStyle name="Comma 2 15 2" xfId="50296" xr:uid="{00000000-0005-0000-0000-00003F0C0000}"/>
    <cellStyle name="Comma 2 15 3" xfId="48466" xr:uid="{00000000-0005-0000-0000-0000400C0000}"/>
    <cellStyle name="Comma 2 16" xfId="2913" xr:uid="{00000000-0005-0000-0000-0000410C0000}"/>
    <cellStyle name="Comma 2 16 2" xfId="50297" xr:uid="{00000000-0005-0000-0000-0000420C0000}"/>
    <cellStyle name="Comma 2 16 3" xfId="48467" xr:uid="{00000000-0005-0000-0000-0000430C0000}"/>
    <cellStyle name="Comma 2 17" xfId="2914" xr:uid="{00000000-0005-0000-0000-0000440C0000}"/>
    <cellStyle name="Comma 2 17 2" xfId="50298" xr:uid="{00000000-0005-0000-0000-0000450C0000}"/>
    <cellStyle name="Comma 2 17 3" xfId="48468" xr:uid="{00000000-0005-0000-0000-0000460C0000}"/>
    <cellStyle name="Comma 2 18" xfId="2915" xr:uid="{00000000-0005-0000-0000-0000470C0000}"/>
    <cellStyle name="Comma 2 18 2" xfId="50299" xr:uid="{00000000-0005-0000-0000-0000480C0000}"/>
    <cellStyle name="Comma 2 18 3" xfId="48469" xr:uid="{00000000-0005-0000-0000-0000490C0000}"/>
    <cellStyle name="Comma 2 19" xfId="2916" xr:uid="{00000000-0005-0000-0000-00004A0C0000}"/>
    <cellStyle name="Comma 2 19 2" xfId="50300" xr:uid="{00000000-0005-0000-0000-00004B0C0000}"/>
    <cellStyle name="Comma 2 19 3" xfId="48470" xr:uid="{00000000-0005-0000-0000-00004C0C0000}"/>
    <cellStyle name="Comma 2 2" xfId="6" xr:uid="{00000000-0005-0000-0000-00004D0C0000}"/>
    <cellStyle name="Comma 2 2 10" xfId="2917" xr:uid="{00000000-0005-0000-0000-00004E0C0000}"/>
    <cellStyle name="Comma 2 2 10 2" xfId="50302" xr:uid="{00000000-0005-0000-0000-00004F0C0000}"/>
    <cellStyle name="Comma 2 2 10 3" xfId="48472" xr:uid="{00000000-0005-0000-0000-0000500C0000}"/>
    <cellStyle name="Comma 2 2 11" xfId="2918" xr:uid="{00000000-0005-0000-0000-0000510C0000}"/>
    <cellStyle name="Comma 2 2 11 2" xfId="50303" xr:uid="{00000000-0005-0000-0000-0000520C0000}"/>
    <cellStyle name="Comma 2 2 11 3" xfId="48473" xr:uid="{00000000-0005-0000-0000-0000530C0000}"/>
    <cellStyle name="Comma 2 2 12" xfId="2919" xr:uid="{00000000-0005-0000-0000-0000540C0000}"/>
    <cellStyle name="Comma 2 2 12 2" xfId="50304" xr:uid="{00000000-0005-0000-0000-0000550C0000}"/>
    <cellStyle name="Comma 2 2 12 3" xfId="48474" xr:uid="{00000000-0005-0000-0000-0000560C0000}"/>
    <cellStyle name="Comma 2 2 13" xfId="2920" xr:uid="{00000000-0005-0000-0000-0000570C0000}"/>
    <cellStyle name="Comma 2 2 13 2" xfId="50305" xr:uid="{00000000-0005-0000-0000-0000580C0000}"/>
    <cellStyle name="Comma 2 2 13 3" xfId="48475" xr:uid="{00000000-0005-0000-0000-0000590C0000}"/>
    <cellStyle name="Comma 2 2 14" xfId="2921" xr:uid="{00000000-0005-0000-0000-00005A0C0000}"/>
    <cellStyle name="Comma 2 2 14 2" xfId="50306" xr:uid="{00000000-0005-0000-0000-00005B0C0000}"/>
    <cellStyle name="Comma 2 2 14 3" xfId="48476" xr:uid="{00000000-0005-0000-0000-00005C0C0000}"/>
    <cellStyle name="Comma 2 2 15" xfId="2922" xr:uid="{00000000-0005-0000-0000-00005D0C0000}"/>
    <cellStyle name="Comma 2 2 15 2" xfId="50307" xr:uid="{00000000-0005-0000-0000-00005E0C0000}"/>
    <cellStyle name="Comma 2 2 15 3" xfId="48477" xr:uid="{00000000-0005-0000-0000-00005F0C0000}"/>
    <cellStyle name="Comma 2 2 16" xfId="2923" xr:uid="{00000000-0005-0000-0000-0000600C0000}"/>
    <cellStyle name="Comma 2 2 16 2" xfId="50308" xr:uid="{00000000-0005-0000-0000-0000610C0000}"/>
    <cellStyle name="Comma 2 2 16 3" xfId="48478" xr:uid="{00000000-0005-0000-0000-0000620C0000}"/>
    <cellStyle name="Comma 2 2 17" xfId="2924" xr:uid="{00000000-0005-0000-0000-0000630C0000}"/>
    <cellStyle name="Comma 2 2 17 2" xfId="50309" xr:uid="{00000000-0005-0000-0000-0000640C0000}"/>
    <cellStyle name="Comma 2 2 17 3" xfId="48479" xr:uid="{00000000-0005-0000-0000-0000650C0000}"/>
    <cellStyle name="Comma 2 2 18" xfId="2925" xr:uid="{00000000-0005-0000-0000-0000660C0000}"/>
    <cellStyle name="Comma 2 2 18 2" xfId="50310" xr:uid="{00000000-0005-0000-0000-0000670C0000}"/>
    <cellStyle name="Comma 2 2 18 3" xfId="48480" xr:uid="{00000000-0005-0000-0000-0000680C0000}"/>
    <cellStyle name="Comma 2 2 19" xfId="2926" xr:uid="{00000000-0005-0000-0000-0000690C0000}"/>
    <cellStyle name="Comma 2 2 19 2" xfId="50311" xr:uid="{00000000-0005-0000-0000-00006A0C0000}"/>
    <cellStyle name="Comma 2 2 19 3" xfId="48481" xr:uid="{00000000-0005-0000-0000-00006B0C0000}"/>
    <cellStyle name="Comma 2 2 2" xfId="2927" xr:uid="{00000000-0005-0000-0000-00006C0C0000}"/>
    <cellStyle name="Comma 2 2 2 10" xfId="2928" xr:uid="{00000000-0005-0000-0000-00006D0C0000}"/>
    <cellStyle name="Comma 2 2 2 10 2" xfId="48483" xr:uid="{00000000-0005-0000-0000-00006E0C0000}"/>
    <cellStyle name="Comma 2 2 2 11" xfId="2929" xr:uid="{00000000-0005-0000-0000-00006F0C0000}"/>
    <cellStyle name="Comma 2 2 2 11 2" xfId="48484" xr:uid="{00000000-0005-0000-0000-0000700C0000}"/>
    <cellStyle name="Comma 2 2 2 12" xfId="2930" xr:uid="{00000000-0005-0000-0000-0000710C0000}"/>
    <cellStyle name="Comma 2 2 2 12 2" xfId="48485" xr:uid="{00000000-0005-0000-0000-0000720C0000}"/>
    <cellStyle name="Comma 2 2 2 13" xfId="2931" xr:uid="{00000000-0005-0000-0000-0000730C0000}"/>
    <cellStyle name="Comma 2 2 2 13 2" xfId="48486" xr:uid="{00000000-0005-0000-0000-0000740C0000}"/>
    <cellStyle name="Comma 2 2 2 14" xfId="2932" xr:uid="{00000000-0005-0000-0000-0000750C0000}"/>
    <cellStyle name="Comma 2 2 2 14 2" xfId="48487" xr:uid="{00000000-0005-0000-0000-0000760C0000}"/>
    <cellStyle name="Comma 2 2 2 15" xfId="2933" xr:uid="{00000000-0005-0000-0000-0000770C0000}"/>
    <cellStyle name="Comma 2 2 2 15 2" xfId="48488" xr:uid="{00000000-0005-0000-0000-0000780C0000}"/>
    <cellStyle name="Comma 2 2 2 16" xfId="48489" xr:uid="{00000000-0005-0000-0000-0000790C0000}"/>
    <cellStyle name="Comma 2 2 2 17" xfId="48490" xr:uid="{00000000-0005-0000-0000-00007A0C0000}"/>
    <cellStyle name="Comma 2 2 2 18" xfId="48491" xr:uid="{00000000-0005-0000-0000-00007B0C0000}"/>
    <cellStyle name="Comma 2 2 2 19" xfId="50312"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2"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3"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1" xr:uid="{00000000-0005-0000-0000-0000D60C0000}"/>
    <cellStyle name="Comma 2 2 2 2 4 3" xfId="3021" xr:uid="{00000000-0005-0000-0000-0000D70C0000}"/>
    <cellStyle name="Comma 2 2 2 2 4 4" xfId="48493"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2" xr:uid="{00000000-0005-0000-0000-0000DC0C0000}"/>
    <cellStyle name="Comma 2 2 2 2 5 3" xfId="48494" xr:uid="{00000000-0005-0000-0000-0000DD0C0000}"/>
    <cellStyle name="Comma 2 2 2 2 6" xfId="3025" xr:uid="{00000000-0005-0000-0000-0000DE0C0000}"/>
    <cellStyle name="Comma 2 2 2 2 6 2" xfId="50333" xr:uid="{00000000-0005-0000-0000-0000DF0C0000}"/>
    <cellStyle name="Comma 2 2 2 2 6 3" xfId="48495" xr:uid="{00000000-0005-0000-0000-0000E00C0000}"/>
    <cellStyle name="Comma 2 2 2 2 7" xfId="3026" xr:uid="{00000000-0005-0000-0000-0000E10C0000}"/>
    <cellStyle name="Comma 2 2 2 2 7 2" xfId="3027" xr:uid="{00000000-0005-0000-0000-0000E20C0000}"/>
    <cellStyle name="Comma 2 2 2 2 7 2 2" xfId="50334" xr:uid="{00000000-0005-0000-0000-0000E30C0000}"/>
    <cellStyle name="Comma 2 2 2 2 7 3" xfId="48496" xr:uid="{00000000-0005-0000-0000-0000E40C0000}"/>
    <cellStyle name="Comma 2 2 2 2 8" xfId="48497" xr:uid="{00000000-0005-0000-0000-0000E50C0000}"/>
    <cellStyle name="Comma 2 2 2 2 8 2" xfId="50335" xr:uid="{00000000-0005-0000-0000-0000E60C0000}"/>
    <cellStyle name="Comma 2 2 2 20" xfId="48482"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9" xr:uid="{00000000-0005-0000-0000-0000FC0C0000}"/>
    <cellStyle name="Comma 2 2 2 5 2 3" xfId="48498" xr:uid="{00000000-0005-0000-0000-0000FD0C0000}"/>
    <cellStyle name="Comma 2 2 2 5 3" xfId="48499" xr:uid="{00000000-0005-0000-0000-0000FE0C0000}"/>
    <cellStyle name="Comma 2 2 2 5 3 2" xfId="50340" xr:uid="{00000000-0005-0000-0000-0000FF0C0000}"/>
    <cellStyle name="Comma 2 2 2 5 4" xfId="48500" xr:uid="{00000000-0005-0000-0000-0000000D0000}"/>
    <cellStyle name="Comma 2 2 2 5 4 2" xfId="50341" xr:uid="{00000000-0005-0000-0000-0000010D0000}"/>
    <cellStyle name="Comma 2 2 2 5 5" xfId="48501" xr:uid="{00000000-0005-0000-0000-0000020D0000}"/>
    <cellStyle name="Comma 2 2 2 5 5 2" xfId="50342" xr:uid="{00000000-0005-0000-0000-0000030D0000}"/>
    <cellStyle name="Comma 2 2 2 5 6" xfId="48502" xr:uid="{00000000-0005-0000-0000-0000040D0000}"/>
    <cellStyle name="Comma 2 2 2 5 6 2" xfId="50343" xr:uid="{00000000-0005-0000-0000-0000050D0000}"/>
    <cellStyle name="Comma 2 2 2 5 7" xfId="48503" xr:uid="{00000000-0005-0000-0000-0000060D0000}"/>
    <cellStyle name="Comma 2 2 2 5 7 2" xfId="50344"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4" xr:uid="{00000000-0005-0000-0000-00000F0D0000}"/>
    <cellStyle name="Comma 2 2 20" xfId="3055" xr:uid="{00000000-0005-0000-0000-0000100D0000}"/>
    <cellStyle name="Comma 2 2 20 2" xfId="50301"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5"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6" xr:uid="{00000000-0005-0000-0000-0000340D0000}"/>
    <cellStyle name="Comma 2 2 4 2" xfId="48507" xr:uid="{00000000-0005-0000-0000-0000350D0000}"/>
    <cellStyle name="Comma 2 2 4 2 2" xfId="48508" xr:uid="{00000000-0005-0000-0000-0000360D0000}"/>
    <cellStyle name="Comma 2 2 4 2 2 2" xfId="50352" xr:uid="{00000000-0005-0000-0000-0000370D0000}"/>
    <cellStyle name="Comma 2 2 4 2 3" xfId="48509" xr:uid="{00000000-0005-0000-0000-0000380D0000}"/>
    <cellStyle name="Comma 2 2 4 2 3 2" xfId="50353" xr:uid="{00000000-0005-0000-0000-0000390D0000}"/>
    <cellStyle name="Comma 2 2 4 2 4" xfId="48510" xr:uid="{00000000-0005-0000-0000-00003A0D0000}"/>
    <cellStyle name="Comma 2 2 4 2 4 2" xfId="50354" xr:uid="{00000000-0005-0000-0000-00003B0D0000}"/>
    <cellStyle name="Comma 2 2 4 2 5" xfId="48511" xr:uid="{00000000-0005-0000-0000-00003C0D0000}"/>
    <cellStyle name="Comma 2 2 4 2 5 2" xfId="50355" xr:uid="{00000000-0005-0000-0000-00003D0D0000}"/>
    <cellStyle name="Comma 2 2 4 2 6" xfId="48512" xr:uid="{00000000-0005-0000-0000-00003E0D0000}"/>
    <cellStyle name="Comma 2 2 4 2 6 2" xfId="50356" xr:uid="{00000000-0005-0000-0000-00003F0D0000}"/>
    <cellStyle name="Comma 2 2 4 2 7" xfId="48513" xr:uid="{00000000-0005-0000-0000-0000400D0000}"/>
    <cellStyle name="Comma 2 2 4 2 7 2" xfId="50357" xr:uid="{00000000-0005-0000-0000-0000410D0000}"/>
    <cellStyle name="Comma 2 2 4 2 8" xfId="50351" xr:uid="{00000000-0005-0000-0000-0000420D0000}"/>
    <cellStyle name="Comma 2 2 4 3" xfId="48514" xr:uid="{00000000-0005-0000-0000-0000430D0000}"/>
    <cellStyle name="Comma 2 2 4 3 2" xfId="50358" xr:uid="{00000000-0005-0000-0000-0000440D0000}"/>
    <cellStyle name="Comma 2 2 4 4" xfId="48515" xr:uid="{00000000-0005-0000-0000-0000450D0000}"/>
    <cellStyle name="Comma 2 2 4 4 2" xfId="50359" xr:uid="{00000000-0005-0000-0000-0000460D0000}"/>
    <cellStyle name="Comma 2 2 4 5" xfId="48516" xr:uid="{00000000-0005-0000-0000-0000470D0000}"/>
    <cellStyle name="Comma 2 2 4 5 2" xfId="50360" xr:uid="{00000000-0005-0000-0000-0000480D0000}"/>
    <cellStyle name="Comma 2 2 4 6" xfId="48517" xr:uid="{00000000-0005-0000-0000-0000490D0000}"/>
    <cellStyle name="Comma 2 2 4 6 2" xfId="50361" xr:uid="{00000000-0005-0000-0000-00004A0D0000}"/>
    <cellStyle name="Comma 2 2 4 7" xfId="48518" xr:uid="{00000000-0005-0000-0000-00004B0D0000}"/>
    <cellStyle name="Comma 2 2 4 7 2" xfId="50362" xr:uid="{00000000-0005-0000-0000-00004C0D0000}"/>
    <cellStyle name="Comma 2 2 4 8" xfId="48519" xr:uid="{00000000-0005-0000-0000-00004D0D0000}"/>
    <cellStyle name="Comma 2 2 4 8 2" xfId="50363" xr:uid="{00000000-0005-0000-0000-00004E0D0000}"/>
    <cellStyle name="Comma 2 2 4 9" xfId="50350"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4" xr:uid="{00000000-0005-0000-0000-0000720D0000}"/>
    <cellStyle name="Comma 2 2 5 3" xfId="48520"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1" xr:uid="{00000000-0005-0000-0000-00007A0D0000}"/>
    <cellStyle name="Comma 2 2 6" xfId="3129" xr:uid="{00000000-0005-0000-0000-00007B0D0000}"/>
    <cellStyle name="Comma 2 2 6 2" xfId="48522" xr:uid="{00000000-0005-0000-0000-00007C0D0000}"/>
    <cellStyle name="Comma 2 2 6 2 2" xfId="50366" xr:uid="{00000000-0005-0000-0000-00007D0D0000}"/>
    <cellStyle name="Comma 2 2 6 3" xfId="48523" xr:uid="{00000000-0005-0000-0000-00007E0D0000}"/>
    <cellStyle name="Comma 2 2 6 3 2" xfId="50367" xr:uid="{00000000-0005-0000-0000-00007F0D0000}"/>
    <cellStyle name="Comma 2 2 6 4" xfId="48524" xr:uid="{00000000-0005-0000-0000-0000800D0000}"/>
    <cellStyle name="Comma 2 2 6 4 2" xfId="50368" xr:uid="{00000000-0005-0000-0000-0000810D0000}"/>
    <cellStyle name="Comma 2 2 6 5" xfId="48525" xr:uid="{00000000-0005-0000-0000-0000820D0000}"/>
    <cellStyle name="Comma 2 2 6 5 2" xfId="50369" xr:uid="{00000000-0005-0000-0000-0000830D0000}"/>
    <cellStyle name="Comma 2 2 6 6" xfId="48526" xr:uid="{00000000-0005-0000-0000-0000840D0000}"/>
    <cellStyle name="Comma 2 2 6 6 2" xfId="50370" xr:uid="{00000000-0005-0000-0000-0000850D0000}"/>
    <cellStyle name="Comma 2 2 6 7" xfId="48527" xr:uid="{00000000-0005-0000-0000-0000860D0000}"/>
    <cellStyle name="Comma 2 2 6 7 2" xfId="50371" xr:uid="{00000000-0005-0000-0000-0000870D0000}"/>
    <cellStyle name="Comma 2 2 6 8" xfId="50365" xr:uid="{00000000-0005-0000-0000-0000880D0000}"/>
    <cellStyle name="Comma 2 2 6 9" xfId="48521" xr:uid="{00000000-0005-0000-0000-0000890D0000}"/>
    <cellStyle name="Comma 2 2 7" xfId="3130" xr:uid="{00000000-0005-0000-0000-00008A0D0000}"/>
    <cellStyle name="Comma 2 2 7 2" xfId="50372" xr:uid="{00000000-0005-0000-0000-00008B0D0000}"/>
    <cellStyle name="Comma 2 2 7 3" xfId="48528" xr:uid="{00000000-0005-0000-0000-00008C0D0000}"/>
    <cellStyle name="Comma 2 2 8" xfId="3131" xr:uid="{00000000-0005-0000-0000-00008D0D0000}"/>
    <cellStyle name="Comma 2 2 8 2" xfId="50373" xr:uid="{00000000-0005-0000-0000-00008E0D0000}"/>
    <cellStyle name="Comma 2 2 8 3" xfId="48529" xr:uid="{00000000-0005-0000-0000-00008F0D0000}"/>
    <cellStyle name="Comma 2 2 9" xfId="3132" xr:uid="{00000000-0005-0000-0000-0000900D0000}"/>
    <cellStyle name="Comma 2 2 9 2" xfId="50374" xr:uid="{00000000-0005-0000-0000-0000910D0000}"/>
    <cellStyle name="Comma 2 2 9 3" xfId="48530" xr:uid="{00000000-0005-0000-0000-0000920D0000}"/>
    <cellStyle name="Comma 2 2_3.1.2 DB Pension Detail" xfId="3133" xr:uid="{00000000-0005-0000-0000-0000930D0000}"/>
    <cellStyle name="Comma 2 20" xfId="3134" xr:uid="{00000000-0005-0000-0000-0000940D0000}"/>
    <cellStyle name="Comma 2 20 2" xfId="50376" xr:uid="{00000000-0005-0000-0000-0000950D0000}"/>
    <cellStyle name="Comma 2 20 3" xfId="48531" xr:uid="{00000000-0005-0000-0000-0000960D0000}"/>
    <cellStyle name="Comma 2 21" xfId="3135" xr:uid="{00000000-0005-0000-0000-0000970D0000}"/>
    <cellStyle name="Comma 2 21 2" xfId="50852" xr:uid="{00000000-0005-0000-0000-0000980D0000}"/>
    <cellStyle name="Comma 2 21 3" xfId="49402" xr:uid="{00000000-0005-0000-0000-0000990D0000}"/>
    <cellStyle name="Comma 2 22" xfId="3136" xr:uid="{00000000-0005-0000-0000-00009A0D0000}"/>
    <cellStyle name="Comma 2 22 2" xfId="50290"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4" xr:uid="{00000000-0005-0000-0000-0000B60D0000}"/>
    <cellStyle name="Comma 2 3 2 2 2" xfId="3163" xr:uid="{00000000-0005-0000-0000-0000B70D0000}"/>
    <cellStyle name="Comma 2 3 2 2 2 2" xfId="50379"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8" xr:uid="{00000000-0005-0000-0000-0000C20D0000}"/>
    <cellStyle name="Comma 2 3 2 4" xfId="48533"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5" xr:uid="{00000000-0005-0000-0000-0000D40D0000}"/>
    <cellStyle name="Comma 2 3 3 2" xfId="3189" xr:uid="{00000000-0005-0000-0000-0000D50D0000}"/>
    <cellStyle name="Comma 2 3 3 2 2" xfId="50380"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7"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2"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1"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6"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2" xr:uid="{00000000-0005-0000-0000-00006F0E0000}"/>
    <cellStyle name="Comma 2 5 3" xfId="48537"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3" xr:uid="{00000000-0005-0000-0000-00009E0E0000}"/>
    <cellStyle name="Comma 2 6 3" xfId="48538"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4" xr:uid="{00000000-0005-0000-0000-0000AB0E0000}"/>
    <cellStyle name="Comma 2 7 3" xfId="48539"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5" xr:uid="{00000000-0005-0000-0000-0000B80E0000}"/>
    <cellStyle name="Comma 2 8 3" xfId="48540"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6" xr:uid="{00000000-0005-0000-0000-0000C50E0000}"/>
    <cellStyle name="Comma 2 9 3" xfId="48541"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9" xr:uid="{00000000-0005-0000-0000-0000D30E0000}"/>
    <cellStyle name="Comma 21" xfId="51686" xr:uid="{00000000-0005-0000-0000-0000D40E0000}"/>
    <cellStyle name="Comma 22" xfId="51341" xr:uid="{00000000-0005-0000-0000-0000D50E0000}"/>
    <cellStyle name="Comma 23" xfId="51680" xr:uid="{00000000-0005-0000-0000-0000D60E0000}"/>
    <cellStyle name="Comma 24" xfId="50773" xr:uid="{00000000-0005-0000-0000-0000D70E0000}"/>
    <cellStyle name="Comma 25" xfId="51676" xr:uid="{00000000-0005-0000-0000-0000D80E0000}"/>
    <cellStyle name="Comma 26" xfId="51213" xr:uid="{00000000-0005-0000-0000-0000D90E0000}"/>
    <cellStyle name="Comma 27" xfId="50935" xr:uid="{00000000-0005-0000-0000-0000DA0E0000}"/>
    <cellStyle name="Comma 28" xfId="49377"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2" xr:uid="{00000000-0005-0000-0000-0000FB0E0000}"/>
    <cellStyle name="Comma 3 13" xfId="3458" xr:uid="{00000000-0005-0000-0000-0000FC0E0000}"/>
    <cellStyle name="Comma 3 13 2" xfId="50832" xr:uid="{00000000-0005-0000-0000-0000FD0E0000}"/>
    <cellStyle name="Comma 3 13 3" xfId="49378"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4" xr:uid="{00000000-0005-0000-0000-00000C0F0000}"/>
    <cellStyle name="Comma 3 2 2 2" xfId="3472" xr:uid="{00000000-0005-0000-0000-00000D0F0000}"/>
    <cellStyle name="Comma 3 2 2 2 2" xfId="50389"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90" xr:uid="{00000000-0005-0000-0000-0000180F0000}"/>
    <cellStyle name="Comma 3 2 3 3" xfId="48545" xr:uid="{00000000-0005-0000-0000-0000190F0000}"/>
    <cellStyle name="Comma 3 2 4" xfId="3482" xr:uid="{00000000-0005-0000-0000-00001A0F0000}"/>
    <cellStyle name="Comma 3 2 4 2" xfId="50388" xr:uid="{00000000-0005-0000-0000-00001B0F0000}"/>
    <cellStyle name="Comma 3 2 5" xfId="3483" xr:uid="{00000000-0005-0000-0000-00001C0F0000}"/>
    <cellStyle name="Comma 3 2 6" xfId="48543"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3" xr:uid="{00000000-0005-0000-0000-00002C0F0000}"/>
    <cellStyle name="Comma 3 3 2 3" xfId="49379" xr:uid="{00000000-0005-0000-0000-00002D0F0000}"/>
    <cellStyle name="Comma 3 3 3" xfId="3498" xr:uid="{00000000-0005-0000-0000-00002E0F0000}"/>
    <cellStyle name="Comma 3 3 3 2" xfId="50391" xr:uid="{00000000-0005-0000-0000-00002F0F0000}"/>
    <cellStyle name="Comma 3 3 4" xfId="3499" xr:uid="{00000000-0005-0000-0000-0000300F0000}"/>
    <cellStyle name="Comma 3 3 5" xfId="48546"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7"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2"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7"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3"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8"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7"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5"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9" xr:uid="{00000000-0005-0000-0000-0000AB110000}"/>
    <cellStyle name="Comma 7 2" xfId="4126" xr:uid="{00000000-0005-0000-0000-0000AC110000}"/>
    <cellStyle name="Comma 7 2 2" xfId="50394"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1" xr:uid="{00000000-0005-0000-0000-0000B6110000}"/>
    <cellStyle name="Comma 8 2 2" xfId="50396" xr:uid="{00000000-0005-0000-0000-0000B7110000}"/>
    <cellStyle name="Comma 8 3" xfId="48552" xr:uid="{00000000-0005-0000-0000-0000B8110000}"/>
    <cellStyle name="Comma 8 3 2" xfId="50397" xr:uid="{00000000-0005-0000-0000-0000B9110000}"/>
    <cellStyle name="Comma 8 4" xfId="50395" xr:uid="{00000000-0005-0000-0000-0000BA110000}"/>
    <cellStyle name="Comma 8 5" xfId="48550" xr:uid="{00000000-0005-0000-0000-0000BB110000}"/>
    <cellStyle name="Comma 9" xfId="4135" xr:uid="{00000000-0005-0000-0000-0000BC110000}"/>
    <cellStyle name="Comma 9 2" xfId="50398" xr:uid="{00000000-0005-0000-0000-0000BD110000}"/>
    <cellStyle name="Comma 9 3" xfId="48553"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4" xr:uid="{00000000-0005-0000-0000-000026120000}"/>
    <cellStyle name="Emphasis 2" xfId="30" xr:uid="{00000000-0005-0000-0000-000027120000}"/>
    <cellStyle name="Emphasis 2 2" xfId="48555" xr:uid="{00000000-0005-0000-0000-000028120000}"/>
    <cellStyle name="Emphasis 3" xfId="31" xr:uid="{00000000-0005-0000-0000-000029120000}"/>
    <cellStyle name="Emphasis 3 2" xfId="48556"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7"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8"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9"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60" xr:uid="{00000000-0005-0000-0000-0000A6120000}"/>
    <cellStyle name="Good 3" xfId="4357" xr:uid="{00000000-0005-0000-0000-0000A7120000}"/>
    <cellStyle name="Good 3 2" xfId="4358" xr:uid="{00000000-0005-0000-0000-0000A8120000}"/>
    <cellStyle name="Good 3 3" xfId="4359" xr:uid="{00000000-0005-0000-0000-0000A9120000}"/>
    <cellStyle name="Good 3 4" xfId="48561"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3" xr:uid="{00000000-0005-0000-0000-0000B2120000}"/>
    <cellStyle name="GreyOrWhite 2 2" xfId="48564" xr:uid="{00000000-0005-0000-0000-0000B3120000}"/>
    <cellStyle name="GreyOrWhite 2 3" xfId="48565" xr:uid="{00000000-0005-0000-0000-0000B4120000}"/>
    <cellStyle name="GreyOrWhite 2 4" xfId="48566" xr:uid="{00000000-0005-0000-0000-0000B5120000}"/>
    <cellStyle name="GreyOrWhite 2 5" xfId="48567" xr:uid="{00000000-0005-0000-0000-0000B6120000}"/>
    <cellStyle name="GreyOrWhite 2 6" xfId="48568" xr:uid="{00000000-0005-0000-0000-0000B7120000}"/>
    <cellStyle name="GreyOrWhite 2 7" xfId="48569" xr:uid="{00000000-0005-0000-0000-0000B8120000}"/>
    <cellStyle name="GreyOrWhite 2 8" xfId="48570" xr:uid="{00000000-0005-0000-0000-0000B9120000}"/>
    <cellStyle name="GreyOrWhite 3" xfId="48562"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1"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2"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3"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4"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5"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6"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7"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8"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5" xr:uid="{00000000-0005-0000-0000-0000A2130000}"/>
    <cellStyle name="Input 2 2 2 3" xfId="4589" xr:uid="{00000000-0005-0000-0000-0000A3130000}"/>
    <cellStyle name="Input 2 2 2 3 2" xfId="51671" xr:uid="{00000000-0005-0000-0000-0000A4130000}"/>
    <cellStyle name="Input 2 2 2 4" xfId="49800"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4"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2" xr:uid="{00000000-0005-0000-0000-0000B7130000}"/>
    <cellStyle name="Input 2 2 4" xfId="4606" xr:uid="{00000000-0005-0000-0000-0000B8130000}"/>
    <cellStyle name="Input 2 2 4 2" xfId="50876"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200" xr:uid="{00000000-0005-0000-0000-0000D6130000}"/>
    <cellStyle name="Input 2 3 2 3" xfId="4635" xr:uid="{00000000-0005-0000-0000-0000D7130000}"/>
    <cellStyle name="Input 2 3 2 3 2" xfId="51172" xr:uid="{00000000-0005-0000-0000-0000D8130000}"/>
    <cellStyle name="Input 2 3 2 4" xfId="49805"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9"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7" xr:uid="{00000000-0005-0000-0000-0000EB130000}"/>
    <cellStyle name="Input 2 3 4" xfId="4652" xr:uid="{00000000-0005-0000-0000-0000EC130000}"/>
    <cellStyle name="Input 2 3 4 2" xfId="51354"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9"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3" xr:uid="{00000000-0005-0000-0000-000008140000}"/>
    <cellStyle name="Input 2 4 2 3" xfId="4678" xr:uid="{00000000-0005-0000-0000-000009140000}"/>
    <cellStyle name="Input 2 4 2 3 2" xfId="51527" xr:uid="{00000000-0005-0000-0000-00000A140000}"/>
    <cellStyle name="Input 2 4 2 4" xfId="49802"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2"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4" xr:uid="{00000000-0005-0000-0000-00001D140000}"/>
    <cellStyle name="Input 2 4 4" xfId="4695" xr:uid="{00000000-0005-0000-0000-00001E140000}"/>
    <cellStyle name="Input 2 4 4 2" xfId="51493"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5"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2"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5"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90"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4"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6"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2"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7" xr:uid="{00000000-0005-0000-0000-000079140000}"/>
    <cellStyle name="Input 2 9" xfId="4778" xr:uid="{00000000-0005-0000-0000-00007A140000}"/>
    <cellStyle name="Input 2 9 2" xfId="4779" xr:uid="{00000000-0005-0000-0000-00007B140000}"/>
    <cellStyle name="Input 2 9 3" xfId="51679" xr:uid="{00000000-0005-0000-0000-00007C140000}"/>
    <cellStyle name="Input 3" xfId="4780" xr:uid="{00000000-0005-0000-0000-00007D140000}"/>
    <cellStyle name="Input 3 10" xfId="48580" xr:uid="{00000000-0005-0000-0000-00007E140000}"/>
    <cellStyle name="Input 3 2" xfId="4781" xr:uid="{00000000-0005-0000-0000-00007F140000}"/>
    <cellStyle name="Input 3 2 2" xfId="4782" xr:uid="{00000000-0005-0000-0000-000080140000}"/>
    <cellStyle name="Input 3 2 2 2" xfId="50204" xr:uid="{00000000-0005-0000-0000-000081140000}"/>
    <cellStyle name="Input 3 2 2 3" xfId="51269" xr:uid="{00000000-0005-0000-0000-000082140000}"/>
    <cellStyle name="Input 3 2 2 4" xfId="49801" xr:uid="{00000000-0005-0000-0000-000083140000}"/>
    <cellStyle name="Input 3 2 3" xfId="50573" xr:uid="{00000000-0005-0000-0000-000084140000}"/>
    <cellStyle name="Input 3 2 4" xfId="51236" xr:uid="{00000000-0005-0000-0000-000085140000}"/>
    <cellStyle name="Input 3 2 5" xfId="49473" xr:uid="{00000000-0005-0000-0000-000086140000}"/>
    <cellStyle name="Input 3 3" xfId="4783" xr:uid="{00000000-0005-0000-0000-000087140000}"/>
    <cellStyle name="Input 3 3 2" xfId="4784" xr:uid="{00000000-0005-0000-0000-000088140000}"/>
    <cellStyle name="Input 3 3 2 2" xfId="50201" xr:uid="{00000000-0005-0000-0000-000089140000}"/>
    <cellStyle name="Input 3 3 2 3" xfId="51525" xr:uid="{00000000-0005-0000-0000-00008A140000}"/>
    <cellStyle name="Input 3 3 2 4" xfId="49804" xr:uid="{00000000-0005-0000-0000-00008B140000}"/>
    <cellStyle name="Input 3 3 3" xfId="50570" xr:uid="{00000000-0005-0000-0000-00008C140000}"/>
    <cellStyle name="Input 3 3 4" xfId="51460" xr:uid="{00000000-0005-0000-0000-00008D140000}"/>
    <cellStyle name="Input 3 3 5" xfId="49476" xr:uid="{00000000-0005-0000-0000-00008E140000}"/>
    <cellStyle name="Input 3 4" xfId="4785" xr:uid="{00000000-0005-0000-0000-00008F140000}"/>
    <cellStyle name="Input 3 4 2" xfId="49803" xr:uid="{00000000-0005-0000-0000-000090140000}"/>
    <cellStyle name="Input 3 4 2 2" xfId="50202" xr:uid="{00000000-0005-0000-0000-000091140000}"/>
    <cellStyle name="Input 3 4 2 3" xfId="51267" xr:uid="{00000000-0005-0000-0000-000092140000}"/>
    <cellStyle name="Input 3 4 3" xfId="50571" xr:uid="{00000000-0005-0000-0000-000093140000}"/>
    <cellStyle name="Input 3 4 4" xfId="51202" xr:uid="{00000000-0005-0000-0000-000094140000}"/>
    <cellStyle name="Input 3 4 5" xfId="49475" xr:uid="{00000000-0005-0000-0000-000095140000}"/>
    <cellStyle name="Input 3 5" xfId="49636" xr:uid="{00000000-0005-0000-0000-000096140000}"/>
    <cellStyle name="Input 3 5 2" xfId="50928" xr:uid="{00000000-0005-0000-0000-000097140000}"/>
    <cellStyle name="Input 3 5 3" xfId="51180" xr:uid="{00000000-0005-0000-0000-000098140000}"/>
    <cellStyle name="Input 3 6" xfId="50045" xr:uid="{00000000-0005-0000-0000-000099140000}"/>
    <cellStyle name="Input 3 6 2" xfId="51089" xr:uid="{00000000-0005-0000-0000-00009A140000}"/>
    <cellStyle name="Input 3 6 3" xfId="51421" xr:uid="{00000000-0005-0000-0000-00009B140000}"/>
    <cellStyle name="Input 3 7" xfId="50855" xr:uid="{00000000-0005-0000-0000-00009C140000}"/>
    <cellStyle name="Input 3 8" xfId="50774" xr:uid="{00000000-0005-0000-0000-00009D140000}"/>
    <cellStyle name="Input 3 9" xfId="51683"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1"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2"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2"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3"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4"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5"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7"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6"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9"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8"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90"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8"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1"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2"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3"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4"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6"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7"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8"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9" xr:uid="{00000000-0005-0000-0000-0000BF1D0000}"/>
    <cellStyle name="Normal 2 130" xfId="7097" xr:uid="{00000000-0005-0000-0000-0000C01D0000}"/>
    <cellStyle name="Normal 2 131" xfId="48595" xr:uid="{00000000-0005-0000-0000-0000C11D0000}"/>
    <cellStyle name="Normal 2 14" xfId="7098" xr:uid="{00000000-0005-0000-0000-0000C21D0000}"/>
    <cellStyle name="Normal 2 14 2" xfId="48600" xr:uid="{00000000-0005-0000-0000-0000C31D0000}"/>
    <cellStyle name="Normal 2 15" xfId="7099" xr:uid="{00000000-0005-0000-0000-0000C41D0000}"/>
    <cellStyle name="Normal 2 15 2" xfId="48601" xr:uid="{00000000-0005-0000-0000-0000C51D0000}"/>
    <cellStyle name="Normal 2 16" xfId="7100" xr:uid="{00000000-0005-0000-0000-0000C61D0000}"/>
    <cellStyle name="Normal 2 16 2" xfId="48602" xr:uid="{00000000-0005-0000-0000-0000C71D0000}"/>
    <cellStyle name="Normal 2 17" xfId="7101" xr:uid="{00000000-0005-0000-0000-0000C81D0000}"/>
    <cellStyle name="Normal 2 17 2" xfId="48603" xr:uid="{00000000-0005-0000-0000-0000C91D0000}"/>
    <cellStyle name="Normal 2 18" xfId="7102" xr:uid="{00000000-0005-0000-0000-0000CA1D0000}"/>
    <cellStyle name="Normal 2 18 2" xfId="48604" xr:uid="{00000000-0005-0000-0000-0000CB1D0000}"/>
    <cellStyle name="Normal 2 19" xfId="7103" xr:uid="{00000000-0005-0000-0000-0000CC1D0000}"/>
    <cellStyle name="Normal 2 19 2" xfId="48605"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7"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9" xr:uid="{00000000-0005-0000-0000-0000DD1D0000}"/>
    <cellStyle name="Normal 2 2 11 2 2" xfId="48610" xr:uid="{00000000-0005-0000-0000-0000DE1D0000}"/>
    <cellStyle name="Normal 2 2 11 2 3" xfId="48611" xr:uid="{00000000-0005-0000-0000-0000DF1D0000}"/>
    <cellStyle name="Normal 2 2 11 2 4" xfId="48612" xr:uid="{00000000-0005-0000-0000-0000E01D0000}"/>
    <cellStyle name="Normal 2 2 11 2 5" xfId="48613" xr:uid="{00000000-0005-0000-0000-0000E11D0000}"/>
    <cellStyle name="Normal 2 2 11 2 6" xfId="48614" xr:uid="{00000000-0005-0000-0000-0000E21D0000}"/>
    <cellStyle name="Normal 2 2 11 2 7" xfId="48615" xr:uid="{00000000-0005-0000-0000-0000E31D0000}"/>
    <cellStyle name="Normal 2 2 11 3" xfId="48616" xr:uid="{00000000-0005-0000-0000-0000E41D0000}"/>
    <cellStyle name="Normal 2 2 11 4" xfId="48617" xr:uid="{00000000-0005-0000-0000-0000E51D0000}"/>
    <cellStyle name="Normal 2 2 11 5" xfId="48618" xr:uid="{00000000-0005-0000-0000-0000E61D0000}"/>
    <cellStyle name="Normal 2 2 11 6" xfId="48619" xr:uid="{00000000-0005-0000-0000-0000E71D0000}"/>
    <cellStyle name="Normal 2 2 11 7" xfId="48620" xr:uid="{00000000-0005-0000-0000-0000E81D0000}"/>
    <cellStyle name="Normal 2 2 11 8" xfId="48621" xr:uid="{00000000-0005-0000-0000-0000E91D0000}"/>
    <cellStyle name="Normal 2 2 11 9" xfId="48608"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2"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6" xr:uid="{00000000-0005-0000-0000-0000FB1D0000}"/>
    <cellStyle name="Normal 2 2 13" xfId="7132" xr:uid="{00000000-0005-0000-0000-0000FC1D0000}"/>
    <cellStyle name="Normal 2 2 13 2" xfId="48624" xr:uid="{00000000-0005-0000-0000-0000FD1D0000}"/>
    <cellStyle name="Normal 2 2 13 3" xfId="48625" xr:uid="{00000000-0005-0000-0000-0000FE1D0000}"/>
    <cellStyle name="Normal 2 2 13 4" xfId="48626" xr:uid="{00000000-0005-0000-0000-0000FF1D0000}"/>
    <cellStyle name="Normal 2 2 13 5" xfId="48627" xr:uid="{00000000-0005-0000-0000-0000001E0000}"/>
    <cellStyle name="Normal 2 2 13 6" xfId="48628" xr:uid="{00000000-0005-0000-0000-0000011E0000}"/>
    <cellStyle name="Normal 2 2 13 7" xfId="48629" xr:uid="{00000000-0005-0000-0000-0000021E0000}"/>
    <cellStyle name="Normal 2 2 13 8" xfId="48623" xr:uid="{00000000-0005-0000-0000-0000031E0000}"/>
    <cellStyle name="Normal 2 2 14" xfId="7133" xr:uid="{00000000-0005-0000-0000-0000041E0000}"/>
    <cellStyle name="Normal 2 2 14 2" xfId="48630" xr:uid="{00000000-0005-0000-0000-0000051E0000}"/>
    <cellStyle name="Normal 2 2 15" xfId="7134" xr:uid="{00000000-0005-0000-0000-0000061E0000}"/>
    <cellStyle name="Normal 2 2 15 2" xfId="48631" xr:uid="{00000000-0005-0000-0000-0000071E0000}"/>
    <cellStyle name="Normal 2 2 16" xfId="7135" xr:uid="{00000000-0005-0000-0000-0000081E0000}"/>
    <cellStyle name="Normal 2 2 16 2" xfId="48632" xr:uid="{00000000-0005-0000-0000-0000091E0000}"/>
    <cellStyle name="Normal 2 2 17" xfId="7136" xr:uid="{00000000-0005-0000-0000-00000A1E0000}"/>
    <cellStyle name="Normal 2 2 17 2" xfId="48633" xr:uid="{00000000-0005-0000-0000-00000B1E0000}"/>
    <cellStyle name="Normal 2 2 18" xfId="7137" xr:uid="{00000000-0005-0000-0000-00000C1E0000}"/>
    <cellStyle name="Normal 2 2 18 2" xfId="48634" xr:uid="{00000000-0005-0000-0000-00000D1E0000}"/>
    <cellStyle name="Normal 2 2 19" xfId="7138" xr:uid="{00000000-0005-0000-0000-00000E1E0000}"/>
    <cellStyle name="Normal 2 2 19 2" xfId="48635"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7"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9" xr:uid="{00000000-0005-0000-0000-0000241E0000}"/>
    <cellStyle name="Normal 2 2 2 11 2 2" xfId="48640" xr:uid="{00000000-0005-0000-0000-0000251E0000}"/>
    <cellStyle name="Normal 2 2 2 11 2 3" xfId="48641" xr:uid="{00000000-0005-0000-0000-0000261E0000}"/>
    <cellStyle name="Normal 2 2 2 11 2 4" xfId="48642" xr:uid="{00000000-0005-0000-0000-0000271E0000}"/>
    <cellStyle name="Normal 2 2 2 11 2 5" xfId="48643" xr:uid="{00000000-0005-0000-0000-0000281E0000}"/>
    <cellStyle name="Normal 2 2 2 11 2 6" xfId="48644" xr:uid="{00000000-0005-0000-0000-0000291E0000}"/>
    <cellStyle name="Normal 2 2 2 11 2 7" xfId="48645" xr:uid="{00000000-0005-0000-0000-00002A1E0000}"/>
    <cellStyle name="Normal 2 2 2 11 3" xfId="48646" xr:uid="{00000000-0005-0000-0000-00002B1E0000}"/>
    <cellStyle name="Normal 2 2 2 11 4" xfId="48647" xr:uid="{00000000-0005-0000-0000-00002C1E0000}"/>
    <cellStyle name="Normal 2 2 2 11 5" xfId="48648" xr:uid="{00000000-0005-0000-0000-00002D1E0000}"/>
    <cellStyle name="Normal 2 2 2 11 6" xfId="48649" xr:uid="{00000000-0005-0000-0000-00002E1E0000}"/>
    <cellStyle name="Normal 2 2 2 11 7" xfId="48650" xr:uid="{00000000-0005-0000-0000-00002F1E0000}"/>
    <cellStyle name="Normal 2 2 2 11 8" xfId="48651" xr:uid="{00000000-0005-0000-0000-0000301E0000}"/>
    <cellStyle name="Normal 2 2 2 11 9" xfId="48638" xr:uid="{00000000-0005-0000-0000-0000311E0000}"/>
    <cellStyle name="Normal 2 2 2 12" xfId="7158" xr:uid="{00000000-0005-0000-0000-0000321E0000}"/>
    <cellStyle name="Normal 2 2 2 12 2" xfId="48652" xr:uid="{00000000-0005-0000-0000-0000331E0000}"/>
    <cellStyle name="Normal 2 2 2 13" xfId="7159" xr:uid="{00000000-0005-0000-0000-0000341E0000}"/>
    <cellStyle name="Normal 2 2 2 13 2" xfId="48654" xr:uid="{00000000-0005-0000-0000-0000351E0000}"/>
    <cellStyle name="Normal 2 2 2 13 3" xfId="48655" xr:uid="{00000000-0005-0000-0000-0000361E0000}"/>
    <cellStyle name="Normal 2 2 2 13 4" xfId="48656" xr:uid="{00000000-0005-0000-0000-0000371E0000}"/>
    <cellStyle name="Normal 2 2 2 13 5" xfId="48657" xr:uid="{00000000-0005-0000-0000-0000381E0000}"/>
    <cellStyle name="Normal 2 2 2 13 6" xfId="48658" xr:uid="{00000000-0005-0000-0000-0000391E0000}"/>
    <cellStyle name="Normal 2 2 2 13 7" xfId="48659" xr:uid="{00000000-0005-0000-0000-00003A1E0000}"/>
    <cellStyle name="Normal 2 2 2 13 8" xfId="48653" xr:uid="{00000000-0005-0000-0000-00003B1E0000}"/>
    <cellStyle name="Normal 2 2 2 14" xfId="7160" xr:uid="{00000000-0005-0000-0000-00003C1E0000}"/>
    <cellStyle name="Normal 2 2 2 14 2" xfId="48660" xr:uid="{00000000-0005-0000-0000-00003D1E0000}"/>
    <cellStyle name="Normal 2 2 2 15" xfId="7161" xr:uid="{00000000-0005-0000-0000-00003E1E0000}"/>
    <cellStyle name="Normal 2 2 2 15 2" xfId="48661" xr:uid="{00000000-0005-0000-0000-00003F1E0000}"/>
    <cellStyle name="Normal 2 2 2 16" xfId="7162" xr:uid="{00000000-0005-0000-0000-0000401E0000}"/>
    <cellStyle name="Normal 2 2 2 16 2" xfId="48662" xr:uid="{00000000-0005-0000-0000-0000411E0000}"/>
    <cellStyle name="Normal 2 2 2 17" xfId="7163" xr:uid="{00000000-0005-0000-0000-0000421E0000}"/>
    <cellStyle name="Normal 2 2 2 17 2" xfId="48663" xr:uid="{00000000-0005-0000-0000-0000431E0000}"/>
    <cellStyle name="Normal 2 2 2 18" xfId="7164" xr:uid="{00000000-0005-0000-0000-0000441E0000}"/>
    <cellStyle name="Normal 2 2 2 18 2" xfId="48664" xr:uid="{00000000-0005-0000-0000-0000451E0000}"/>
    <cellStyle name="Normal 2 2 2 19" xfId="7165" xr:uid="{00000000-0005-0000-0000-0000461E0000}"/>
    <cellStyle name="Normal 2 2 2 19 2" xfId="48665" xr:uid="{00000000-0005-0000-0000-0000471E0000}"/>
    <cellStyle name="Normal 2 2 2 2" xfId="7166" xr:uid="{00000000-0005-0000-0000-0000481E0000}"/>
    <cellStyle name="Normal 2 2 2 2 10" xfId="7167" xr:uid="{00000000-0005-0000-0000-0000491E0000}"/>
    <cellStyle name="Normal 2 2 2 2 10 2" xfId="48667" xr:uid="{00000000-0005-0000-0000-00004A1E0000}"/>
    <cellStyle name="Normal 2 2 2 2 11" xfId="7168" xr:uid="{00000000-0005-0000-0000-00004B1E0000}"/>
    <cellStyle name="Normal 2 2 2 2 11 2" xfId="48669" xr:uid="{00000000-0005-0000-0000-00004C1E0000}"/>
    <cellStyle name="Normal 2 2 2 2 11 3" xfId="48670" xr:uid="{00000000-0005-0000-0000-00004D1E0000}"/>
    <cellStyle name="Normal 2 2 2 2 11 4" xfId="48671" xr:uid="{00000000-0005-0000-0000-00004E1E0000}"/>
    <cellStyle name="Normal 2 2 2 2 11 5" xfId="48672" xr:uid="{00000000-0005-0000-0000-00004F1E0000}"/>
    <cellStyle name="Normal 2 2 2 2 11 6" xfId="48673" xr:uid="{00000000-0005-0000-0000-0000501E0000}"/>
    <cellStyle name="Normal 2 2 2 2 11 7" xfId="48674" xr:uid="{00000000-0005-0000-0000-0000511E0000}"/>
    <cellStyle name="Normal 2 2 2 2 11 8" xfId="48668" xr:uid="{00000000-0005-0000-0000-0000521E0000}"/>
    <cellStyle name="Normal 2 2 2 2 12" xfId="7169" xr:uid="{00000000-0005-0000-0000-0000531E0000}"/>
    <cellStyle name="Normal 2 2 2 2 12 2" xfId="48675" xr:uid="{00000000-0005-0000-0000-0000541E0000}"/>
    <cellStyle name="Normal 2 2 2 2 13" xfId="7170" xr:uid="{00000000-0005-0000-0000-0000551E0000}"/>
    <cellStyle name="Normal 2 2 2 2 13 2" xfId="48676" xr:uid="{00000000-0005-0000-0000-0000561E0000}"/>
    <cellStyle name="Normal 2 2 2 2 14" xfId="7171" xr:uid="{00000000-0005-0000-0000-0000571E0000}"/>
    <cellStyle name="Normal 2 2 2 2 14 2" xfId="48677" xr:uid="{00000000-0005-0000-0000-0000581E0000}"/>
    <cellStyle name="Normal 2 2 2 2 15" xfId="7172" xr:uid="{00000000-0005-0000-0000-0000591E0000}"/>
    <cellStyle name="Normal 2 2 2 2 15 2" xfId="48678" xr:uid="{00000000-0005-0000-0000-00005A1E0000}"/>
    <cellStyle name="Normal 2 2 2 2 16" xfId="7173" xr:uid="{00000000-0005-0000-0000-00005B1E0000}"/>
    <cellStyle name="Normal 2 2 2 2 16 2" xfId="48679" xr:uid="{00000000-0005-0000-0000-00005C1E0000}"/>
    <cellStyle name="Normal 2 2 2 2 17" xfId="7174" xr:uid="{00000000-0005-0000-0000-00005D1E0000}"/>
    <cellStyle name="Normal 2 2 2 2 17 2" xfId="48680" xr:uid="{00000000-0005-0000-0000-00005E1E0000}"/>
    <cellStyle name="Normal 2 2 2 2 18" xfId="7175" xr:uid="{00000000-0005-0000-0000-00005F1E0000}"/>
    <cellStyle name="Normal 2 2 2 2 18 2" xfId="48681" xr:uid="{00000000-0005-0000-0000-0000601E0000}"/>
    <cellStyle name="Normal 2 2 2 2 19" xfId="7176" xr:uid="{00000000-0005-0000-0000-0000611E0000}"/>
    <cellStyle name="Normal 2 2 2 2 19 2" xfId="48682" xr:uid="{00000000-0005-0000-0000-0000621E0000}"/>
    <cellStyle name="Normal 2 2 2 2 2" xfId="7177" xr:uid="{00000000-0005-0000-0000-0000631E0000}"/>
    <cellStyle name="Normal 2 2 2 2 2 10" xfId="7178" xr:uid="{00000000-0005-0000-0000-0000641E0000}"/>
    <cellStyle name="Normal 2 2 2 2 2 10 2" xfId="48684" xr:uid="{00000000-0005-0000-0000-0000651E0000}"/>
    <cellStyle name="Normal 2 2 2 2 2 11" xfId="7179" xr:uid="{00000000-0005-0000-0000-0000661E0000}"/>
    <cellStyle name="Normal 2 2 2 2 2 11 2" xfId="48686" xr:uid="{00000000-0005-0000-0000-0000671E0000}"/>
    <cellStyle name="Normal 2 2 2 2 2 11 3" xfId="48687" xr:uid="{00000000-0005-0000-0000-0000681E0000}"/>
    <cellStyle name="Normal 2 2 2 2 2 11 4" xfId="48688" xr:uid="{00000000-0005-0000-0000-0000691E0000}"/>
    <cellStyle name="Normal 2 2 2 2 2 11 5" xfId="48689" xr:uid="{00000000-0005-0000-0000-00006A1E0000}"/>
    <cellStyle name="Normal 2 2 2 2 2 11 6" xfId="48690" xr:uid="{00000000-0005-0000-0000-00006B1E0000}"/>
    <cellStyle name="Normal 2 2 2 2 2 11 7" xfId="48691" xr:uid="{00000000-0005-0000-0000-00006C1E0000}"/>
    <cellStyle name="Normal 2 2 2 2 2 11 8" xfId="48685" xr:uid="{00000000-0005-0000-0000-00006D1E0000}"/>
    <cellStyle name="Normal 2 2 2 2 2 12" xfId="7180" xr:uid="{00000000-0005-0000-0000-00006E1E0000}"/>
    <cellStyle name="Normal 2 2 2 2 2 12 2" xfId="48692" xr:uid="{00000000-0005-0000-0000-00006F1E0000}"/>
    <cellStyle name="Normal 2 2 2 2 2 13" xfId="7181" xr:uid="{00000000-0005-0000-0000-0000701E0000}"/>
    <cellStyle name="Normal 2 2 2 2 2 13 2" xfId="48693" xr:uid="{00000000-0005-0000-0000-0000711E0000}"/>
    <cellStyle name="Normal 2 2 2 2 2 14" xfId="7182" xr:uid="{00000000-0005-0000-0000-0000721E0000}"/>
    <cellStyle name="Normal 2 2 2 2 2 14 2" xfId="48694" xr:uid="{00000000-0005-0000-0000-0000731E0000}"/>
    <cellStyle name="Normal 2 2 2 2 2 15" xfId="7183" xr:uid="{00000000-0005-0000-0000-0000741E0000}"/>
    <cellStyle name="Normal 2 2 2 2 2 15 2" xfId="48695" xr:uid="{00000000-0005-0000-0000-0000751E0000}"/>
    <cellStyle name="Normal 2 2 2 2 2 16" xfId="7184" xr:uid="{00000000-0005-0000-0000-0000761E0000}"/>
    <cellStyle name="Normal 2 2 2 2 2 16 2" xfId="48696" xr:uid="{00000000-0005-0000-0000-0000771E0000}"/>
    <cellStyle name="Normal 2 2 2 2 2 17" xfId="7185" xr:uid="{00000000-0005-0000-0000-0000781E0000}"/>
    <cellStyle name="Normal 2 2 2 2 2 17 2" xfId="48697" xr:uid="{00000000-0005-0000-0000-0000791E0000}"/>
    <cellStyle name="Normal 2 2 2 2 2 18" xfId="7186" xr:uid="{00000000-0005-0000-0000-00007A1E0000}"/>
    <cellStyle name="Normal 2 2 2 2 2 18 2" xfId="48698" xr:uid="{00000000-0005-0000-0000-00007B1E0000}"/>
    <cellStyle name="Normal 2 2 2 2 2 19" xfId="7187" xr:uid="{00000000-0005-0000-0000-00007C1E0000}"/>
    <cellStyle name="Normal 2 2 2 2 2 19 2" xfId="48699" xr:uid="{00000000-0005-0000-0000-00007D1E0000}"/>
    <cellStyle name="Normal 2 2 2 2 2 2" xfId="7188" xr:uid="{00000000-0005-0000-0000-00007E1E0000}"/>
    <cellStyle name="Normal 2 2 2 2 2 2 10" xfId="7189" xr:uid="{00000000-0005-0000-0000-00007F1E0000}"/>
    <cellStyle name="Normal 2 2 2 2 2 2 10 2" xfId="48702" xr:uid="{00000000-0005-0000-0000-0000801E0000}"/>
    <cellStyle name="Normal 2 2 2 2 2 2 10 3" xfId="48703" xr:uid="{00000000-0005-0000-0000-0000811E0000}"/>
    <cellStyle name="Normal 2 2 2 2 2 2 10 4" xfId="48704" xr:uid="{00000000-0005-0000-0000-0000821E0000}"/>
    <cellStyle name="Normal 2 2 2 2 2 2 10 5" xfId="48705" xr:uid="{00000000-0005-0000-0000-0000831E0000}"/>
    <cellStyle name="Normal 2 2 2 2 2 2 10 6" xfId="48706" xr:uid="{00000000-0005-0000-0000-0000841E0000}"/>
    <cellStyle name="Normal 2 2 2 2 2 2 10 7" xfId="48707" xr:uid="{00000000-0005-0000-0000-0000851E0000}"/>
    <cellStyle name="Normal 2 2 2 2 2 2 10 8" xfId="48701" xr:uid="{00000000-0005-0000-0000-0000861E0000}"/>
    <cellStyle name="Normal 2 2 2 2 2 2 11" xfId="7190" xr:uid="{00000000-0005-0000-0000-0000871E0000}"/>
    <cellStyle name="Normal 2 2 2 2 2 2 11 2" xfId="48708" xr:uid="{00000000-0005-0000-0000-0000881E0000}"/>
    <cellStyle name="Normal 2 2 2 2 2 2 12" xfId="7191" xr:uid="{00000000-0005-0000-0000-0000891E0000}"/>
    <cellStyle name="Normal 2 2 2 2 2 2 12 2" xfId="48709" xr:uid="{00000000-0005-0000-0000-00008A1E0000}"/>
    <cellStyle name="Normal 2 2 2 2 2 2 13" xfId="7192" xr:uid="{00000000-0005-0000-0000-00008B1E0000}"/>
    <cellStyle name="Normal 2 2 2 2 2 2 13 2" xfId="48710" xr:uid="{00000000-0005-0000-0000-00008C1E0000}"/>
    <cellStyle name="Normal 2 2 2 2 2 2 14" xfId="7193" xr:uid="{00000000-0005-0000-0000-00008D1E0000}"/>
    <cellStyle name="Normal 2 2 2 2 2 2 14 2" xfId="48711" xr:uid="{00000000-0005-0000-0000-00008E1E0000}"/>
    <cellStyle name="Normal 2 2 2 2 2 2 15" xfId="7194" xr:uid="{00000000-0005-0000-0000-00008F1E0000}"/>
    <cellStyle name="Normal 2 2 2 2 2 2 15 2" xfId="48712" xr:uid="{00000000-0005-0000-0000-0000901E0000}"/>
    <cellStyle name="Normal 2 2 2 2 2 2 16" xfId="7195" xr:uid="{00000000-0005-0000-0000-0000911E0000}"/>
    <cellStyle name="Normal 2 2 2 2 2 2 16 2" xfId="48713" xr:uid="{00000000-0005-0000-0000-0000921E0000}"/>
    <cellStyle name="Normal 2 2 2 2 2 2 17" xfId="7196" xr:uid="{00000000-0005-0000-0000-0000931E0000}"/>
    <cellStyle name="Normal 2 2 2 2 2 2 17 2" xfId="48714" xr:uid="{00000000-0005-0000-0000-0000941E0000}"/>
    <cellStyle name="Normal 2 2 2 2 2 2 18" xfId="7197" xr:uid="{00000000-0005-0000-0000-0000951E0000}"/>
    <cellStyle name="Normal 2 2 2 2 2 2 18 2" xfId="48715" xr:uid="{00000000-0005-0000-0000-0000961E0000}"/>
    <cellStyle name="Normal 2 2 2 2 2 2 19" xfId="7198" xr:uid="{00000000-0005-0000-0000-0000971E0000}"/>
    <cellStyle name="Normal 2 2 2 2 2 2 19 2" xfId="48716" xr:uid="{00000000-0005-0000-0000-0000981E0000}"/>
    <cellStyle name="Normal 2 2 2 2 2 2 2" xfId="7199" xr:uid="{00000000-0005-0000-0000-0000991E0000}"/>
    <cellStyle name="Normal 2 2 2 2 2 2 2 10" xfId="7200" xr:uid="{00000000-0005-0000-0000-00009A1E0000}"/>
    <cellStyle name="Normal 2 2 2 2 2 2 2 10 2" xfId="48719" xr:uid="{00000000-0005-0000-0000-00009B1E0000}"/>
    <cellStyle name="Normal 2 2 2 2 2 2 2 10 3" xfId="48720" xr:uid="{00000000-0005-0000-0000-00009C1E0000}"/>
    <cellStyle name="Normal 2 2 2 2 2 2 2 10 4" xfId="48721" xr:uid="{00000000-0005-0000-0000-00009D1E0000}"/>
    <cellStyle name="Normal 2 2 2 2 2 2 2 10 5" xfId="48722" xr:uid="{00000000-0005-0000-0000-00009E1E0000}"/>
    <cellStyle name="Normal 2 2 2 2 2 2 2 10 6" xfId="48723" xr:uid="{00000000-0005-0000-0000-00009F1E0000}"/>
    <cellStyle name="Normal 2 2 2 2 2 2 2 10 7" xfId="48724" xr:uid="{00000000-0005-0000-0000-0000A01E0000}"/>
    <cellStyle name="Normal 2 2 2 2 2 2 2 10 8" xfId="48718" xr:uid="{00000000-0005-0000-0000-0000A11E0000}"/>
    <cellStyle name="Normal 2 2 2 2 2 2 2 11" xfId="7201" xr:uid="{00000000-0005-0000-0000-0000A21E0000}"/>
    <cellStyle name="Normal 2 2 2 2 2 2 2 11 2" xfId="48725" xr:uid="{00000000-0005-0000-0000-0000A31E0000}"/>
    <cellStyle name="Normal 2 2 2 2 2 2 2 12" xfId="7202" xr:uid="{00000000-0005-0000-0000-0000A41E0000}"/>
    <cellStyle name="Normal 2 2 2 2 2 2 2 12 2" xfId="48726" xr:uid="{00000000-0005-0000-0000-0000A51E0000}"/>
    <cellStyle name="Normal 2 2 2 2 2 2 2 13" xfId="7203" xr:uid="{00000000-0005-0000-0000-0000A61E0000}"/>
    <cellStyle name="Normal 2 2 2 2 2 2 2 13 2" xfId="48727" xr:uid="{00000000-0005-0000-0000-0000A71E0000}"/>
    <cellStyle name="Normal 2 2 2 2 2 2 2 14" xfId="7204" xr:uid="{00000000-0005-0000-0000-0000A81E0000}"/>
    <cellStyle name="Normal 2 2 2 2 2 2 2 14 2" xfId="48728" xr:uid="{00000000-0005-0000-0000-0000A91E0000}"/>
    <cellStyle name="Normal 2 2 2 2 2 2 2 15" xfId="7205" xr:uid="{00000000-0005-0000-0000-0000AA1E0000}"/>
    <cellStyle name="Normal 2 2 2 2 2 2 2 15 2" xfId="48729" xr:uid="{00000000-0005-0000-0000-0000AB1E0000}"/>
    <cellStyle name="Normal 2 2 2 2 2 2 2 16" xfId="7206" xr:uid="{00000000-0005-0000-0000-0000AC1E0000}"/>
    <cellStyle name="Normal 2 2 2 2 2 2 2 16 2" xfId="48730" xr:uid="{00000000-0005-0000-0000-0000AD1E0000}"/>
    <cellStyle name="Normal 2 2 2 2 2 2 2 17" xfId="7207" xr:uid="{00000000-0005-0000-0000-0000AE1E0000}"/>
    <cellStyle name="Normal 2 2 2 2 2 2 2 17 2" xfId="48731" xr:uid="{00000000-0005-0000-0000-0000AF1E0000}"/>
    <cellStyle name="Normal 2 2 2 2 2 2 2 18" xfId="7208" xr:uid="{00000000-0005-0000-0000-0000B01E0000}"/>
    <cellStyle name="Normal 2 2 2 2 2 2 2 18 2" xfId="48732" xr:uid="{00000000-0005-0000-0000-0000B11E0000}"/>
    <cellStyle name="Normal 2 2 2 2 2 2 2 19" xfId="7209" xr:uid="{00000000-0005-0000-0000-0000B21E0000}"/>
    <cellStyle name="Normal 2 2 2 2 2 2 2 19 2" xfId="48733" xr:uid="{00000000-0005-0000-0000-0000B31E0000}"/>
    <cellStyle name="Normal 2 2 2 2 2 2 2 2" xfId="7210" xr:uid="{00000000-0005-0000-0000-0000B41E0000}"/>
    <cellStyle name="Normal 2 2 2 2 2 2 2 2 10" xfId="7211" xr:uid="{00000000-0005-0000-0000-0000B51E0000}"/>
    <cellStyle name="Normal 2 2 2 2 2 2 2 2 10 2" xfId="48735" xr:uid="{00000000-0005-0000-0000-0000B61E0000}"/>
    <cellStyle name="Normal 2 2 2 2 2 2 2 2 11" xfId="7212" xr:uid="{00000000-0005-0000-0000-0000B71E0000}"/>
    <cellStyle name="Normal 2 2 2 2 2 2 2 2 11 2" xfId="48736" xr:uid="{00000000-0005-0000-0000-0000B81E0000}"/>
    <cellStyle name="Normal 2 2 2 2 2 2 2 2 12" xfId="7213" xr:uid="{00000000-0005-0000-0000-0000B91E0000}"/>
    <cellStyle name="Normal 2 2 2 2 2 2 2 2 12 2" xfId="48737" xr:uid="{00000000-0005-0000-0000-0000BA1E0000}"/>
    <cellStyle name="Normal 2 2 2 2 2 2 2 2 13" xfId="7214" xr:uid="{00000000-0005-0000-0000-0000BB1E0000}"/>
    <cellStyle name="Normal 2 2 2 2 2 2 2 2 13 2" xfId="48738" xr:uid="{00000000-0005-0000-0000-0000BC1E0000}"/>
    <cellStyle name="Normal 2 2 2 2 2 2 2 2 14" xfId="7215" xr:uid="{00000000-0005-0000-0000-0000BD1E0000}"/>
    <cellStyle name="Normal 2 2 2 2 2 2 2 2 14 2" xfId="48739" xr:uid="{00000000-0005-0000-0000-0000BE1E0000}"/>
    <cellStyle name="Normal 2 2 2 2 2 2 2 2 15" xfId="7216" xr:uid="{00000000-0005-0000-0000-0000BF1E0000}"/>
    <cellStyle name="Normal 2 2 2 2 2 2 2 2 15 2" xfId="48740" xr:uid="{00000000-0005-0000-0000-0000C01E0000}"/>
    <cellStyle name="Normal 2 2 2 2 2 2 2 2 16" xfId="7217" xr:uid="{00000000-0005-0000-0000-0000C11E0000}"/>
    <cellStyle name="Normal 2 2 2 2 2 2 2 2 16 2" xfId="48741" xr:uid="{00000000-0005-0000-0000-0000C21E0000}"/>
    <cellStyle name="Normal 2 2 2 2 2 2 2 2 17" xfId="7218" xr:uid="{00000000-0005-0000-0000-0000C31E0000}"/>
    <cellStyle name="Normal 2 2 2 2 2 2 2 2 17 2" xfId="48742" xr:uid="{00000000-0005-0000-0000-0000C41E0000}"/>
    <cellStyle name="Normal 2 2 2 2 2 2 2 2 18" xfId="7219" xr:uid="{00000000-0005-0000-0000-0000C51E0000}"/>
    <cellStyle name="Normal 2 2 2 2 2 2 2 2 18 2" xfId="48743" xr:uid="{00000000-0005-0000-0000-0000C61E0000}"/>
    <cellStyle name="Normal 2 2 2 2 2 2 2 2 19" xfId="7220" xr:uid="{00000000-0005-0000-0000-0000C71E0000}"/>
    <cellStyle name="Normal 2 2 2 2 2 2 2 2 19 2" xfId="48744" xr:uid="{00000000-0005-0000-0000-0000C81E0000}"/>
    <cellStyle name="Normal 2 2 2 2 2 2 2 2 2" xfId="7221" xr:uid="{00000000-0005-0000-0000-0000C91E0000}"/>
    <cellStyle name="Normal 2 2 2 2 2 2 2 2 2 10" xfId="7222" xr:uid="{00000000-0005-0000-0000-0000CA1E0000}"/>
    <cellStyle name="Normal 2 2 2 2 2 2 2 2 2 10 2" xfId="48746" xr:uid="{00000000-0005-0000-0000-0000CB1E0000}"/>
    <cellStyle name="Normal 2 2 2 2 2 2 2 2 2 11" xfId="7223" xr:uid="{00000000-0005-0000-0000-0000CC1E0000}"/>
    <cellStyle name="Normal 2 2 2 2 2 2 2 2 2 11 2" xfId="48747" xr:uid="{00000000-0005-0000-0000-0000CD1E0000}"/>
    <cellStyle name="Normal 2 2 2 2 2 2 2 2 2 12" xfId="7224" xr:uid="{00000000-0005-0000-0000-0000CE1E0000}"/>
    <cellStyle name="Normal 2 2 2 2 2 2 2 2 2 12 2" xfId="48748" xr:uid="{00000000-0005-0000-0000-0000CF1E0000}"/>
    <cellStyle name="Normal 2 2 2 2 2 2 2 2 2 13" xfId="7225" xr:uid="{00000000-0005-0000-0000-0000D01E0000}"/>
    <cellStyle name="Normal 2 2 2 2 2 2 2 2 2 13 2" xfId="48749" xr:uid="{00000000-0005-0000-0000-0000D11E0000}"/>
    <cellStyle name="Normal 2 2 2 2 2 2 2 2 2 14" xfId="7226" xr:uid="{00000000-0005-0000-0000-0000D21E0000}"/>
    <cellStyle name="Normal 2 2 2 2 2 2 2 2 2 14 2" xfId="48750" xr:uid="{00000000-0005-0000-0000-0000D31E0000}"/>
    <cellStyle name="Normal 2 2 2 2 2 2 2 2 2 15" xfId="7227" xr:uid="{00000000-0005-0000-0000-0000D41E0000}"/>
    <cellStyle name="Normal 2 2 2 2 2 2 2 2 2 15 2" xfId="48751" xr:uid="{00000000-0005-0000-0000-0000D51E0000}"/>
    <cellStyle name="Normal 2 2 2 2 2 2 2 2 2 16" xfId="7228" xr:uid="{00000000-0005-0000-0000-0000D61E0000}"/>
    <cellStyle name="Normal 2 2 2 2 2 2 2 2 2 16 2" xfId="48752" xr:uid="{00000000-0005-0000-0000-0000D71E0000}"/>
    <cellStyle name="Normal 2 2 2 2 2 2 2 2 2 17" xfId="7229" xr:uid="{00000000-0005-0000-0000-0000D81E0000}"/>
    <cellStyle name="Normal 2 2 2 2 2 2 2 2 2 17 2" xfId="48753" xr:uid="{00000000-0005-0000-0000-0000D91E0000}"/>
    <cellStyle name="Normal 2 2 2 2 2 2 2 2 2 18" xfId="7230" xr:uid="{00000000-0005-0000-0000-0000DA1E0000}"/>
    <cellStyle name="Normal 2 2 2 2 2 2 2 2 2 18 2" xfId="48754" xr:uid="{00000000-0005-0000-0000-0000DB1E0000}"/>
    <cellStyle name="Normal 2 2 2 2 2 2 2 2 2 19" xfId="48755" xr:uid="{00000000-0005-0000-0000-0000DC1E0000}"/>
    <cellStyle name="Normal 2 2 2 2 2 2 2 2 2 2" xfId="7231" xr:uid="{00000000-0005-0000-0000-0000DD1E0000}"/>
    <cellStyle name="Normal 2 2 2 2 2 2 2 2 2 2 10" xfId="48757" xr:uid="{00000000-0005-0000-0000-0000DE1E0000}"/>
    <cellStyle name="Normal 2 2 2 2 2 2 2 2 2 2 11" xfId="48758" xr:uid="{00000000-0005-0000-0000-0000DF1E0000}"/>
    <cellStyle name="Normal 2 2 2 2 2 2 2 2 2 2 12" xfId="48759" xr:uid="{00000000-0005-0000-0000-0000E01E0000}"/>
    <cellStyle name="Normal 2 2 2 2 2 2 2 2 2 2 13" xfId="48760" xr:uid="{00000000-0005-0000-0000-0000E11E0000}"/>
    <cellStyle name="Normal 2 2 2 2 2 2 2 2 2 2 14" xfId="48761" xr:uid="{00000000-0005-0000-0000-0000E21E0000}"/>
    <cellStyle name="Normal 2 2 2 2 2 2 2 2 2 2 15" xfId="48762" xr:uid="{00000000-0005-0000-0000-0000E31E0000}"/>
    <cellStyle name="Normal 2 2 2 2 2 2 2 2 2 2 16" xfId="48763" xr:uid="{00000000-0005-0000-0000-0000E41E0000}"/>
    <cellStyle name="Normal 2 2 2 2 2 2 2 2 2 2 17" xfId="48764" xr:uid="{00000000-0005-0000-0000-0000E51E0000}"/>
    <cellStyle name="Normal 2 2 2 2 2 2 2 2 2 2 18" xfId="48765" xr:uid="{00000000-0005-0000-0000-0000E61E0000}"/>
    <cellStyle name="Normal 2 2 2 2 2 2 2 2 2 2 19" xfId="48756" xr:uid="{00000000-0005-0000-0000-0000E71E0000}"/>
    <cellStyle name="Normal 2 2 2 2 2 2 2 2 2 2 2" xfId="48766" xr:uid="{00000000-0005-0000-0000-0000E81E0000}"/>
    <cellStyle name="Normal 2 2 2 2 2 2 2 2 2 2 2 2" xfId="48767" xr:uid="{00000000-0005-0000-0000-0000E91E0000}"/>
    <cellStyle name="Normal 2 2 2 2 2 2 2 2 2 2 2 2 2" xfId="48768" xr:uid="{00000000-0005-0000-0000-0000EA1E0000}"/>
    <cellStyle name="Normal 2 2 2 2 2 2 2 2 2 2 2 2 3" xfId="48769" xr:uid="{00000000-0005-0000-0000-0000EB1E0000}"/>
    <cellStyle name="Normal 2 2 2 2 2 2 2 2 2 2 2 2 4" xfId="48770" xr:uid="{00000000-0005-0000-0000-0000EC1E0000}"/>
    <cellStyle name="Normal 2 2 2 2 2 2 2 2 2 2 2 2 5" xfId="48771" xr:uid="{00000000-0005-0000-0000-0000ED1E0000}"/>
    <cellStyle name="Normal 2 2 2 2 2 2 2 2 2 2 2 2 6" xfId="48772" xr:uid="{00000000-0005-0000-0000-0000EE1E0000}"/>
    <cellStyle name="Normal 2 2 2 2 2 2 2 2 2 2 2 2 7" xfId="48773" xr:uid="{00000000-0005-0000-0000-0000EF1E0000}"/>
    <cellStyle name="Normal 2 2 2 2 2 2 2 2 2 2 2 3" xfId="48774" xr:uid="{00000000-0005-0000-0000-0000F01E0000}"/>
    <cellStyle name="Normal 2 2 2 2 2 2 2 2 2 2 2 4" xfId="48775" xr:uid="{00000000-0005-0000-0000-0000F11E0000}"/>
    <cellStyle name="Normal 2 2 2 2 2 2 2 2 2 2 2 5" xfId="48776" xr:uid="{00000000-0005-0000-0000-0000F21E0000}"/>
    <cellStyle name="Normal 2 2 2 2 2 2 2 2 2 2 2 6" xfId="48777" xr:uid="{00000000-0005-0000-0000-0000F31E0000}"/>
    <cellStyle name="Normal 2 2 2 2 2 2 2 2 2 2 2 7" xfId="48778" xr:uid="{00000000-0005-0000-0000-0000F41E0000}"/>
    <cellStyle name="Normal 2 2 2 2 2 2 2 2 2 2 2 8" xfId="48779" xr:uid="{00000000-0005-0000-0000-0000F51E0000}"/>
    <cellStyle name="Normal 2 2 2 2 2 2 2 2 2 2 3" xfId="48780" xr:uid="{00000000-0005-0000-0000-0000F61E0000}"/>
    <cellStyle name="Normal 2 2 2 2 2 2 2 2 2 2 4" xfId="48781" xr:uid="{00000000-0005-0000-0000-0000F71E0000}"/>
    <cellStyle name="Normal 2 2 2 2 2 2 2 2 2 2 5" xfId="48782" xr:uid="{00000000-0005-0000-0000-0000F81E0000}"/>
    <cellStyle name="Normal 2 2 2 2 2 2 2 2 2 2 5 2" xfId="48783" xr:uid="{00000000-0005-0000-0000-0000F91E0000}"/>
    <cellStyle name="Normal 2 2 2 2 2 2 2 2 2 2 5 3" xfId="48784" xr:uid="{00000000-0005-0000-0000-0000FA1E0000}"/>
    <cellStyle name="Normal 2 2 2 2 2 2 2 2 2 2 5 4" xfId="48785" xr:uid="{00000000-0005-0000-0000-0000FB1E0000}"/>
    <cellStyle name="Normal 2 2 2 2 2 2 2 2 2 2 5 5" xfId="48786" xr:uid="{00000000-0005-0000-0000-0000FC1E0000}"/>
    <cellStyle name="Normal 2 2 2 2 2 2 2 2 2 2 5 6" xfId="48787" xr:uid="{00000000-0005-0000-0000-0000FD1E0000}"/>
    <cellStyle name="Normal 2 2 2 2 2 2 2 2 2 2 5 7" xfId="48788" xr:uid="{00000000-0005-0000-0000-0000FE1E0000}"/>
    <cellStyle name="Normal 2 2 2 2 2 2 2 2 2 2 6" xfId="48789" xr:uid="{00000000-0005-0000-0000-0000FF1E0000}"/>
    <cellStyle name="Normal 2 2 2 2 2 2 2 2 2 2 7" xfId="48790" xr:uid="{00000000-0005-0000-0000-0000001F0000}"/>
    <cellStyle name="Normal 2 2 2 2 2 2 2 2 2 2 8" xfId="48791" xr:uid="{00000000-0005-0000-0000-0000011F0000}"/>
    <cellStyle name="Normal 2 2 2 2 2 2 2 2 2 2 9" xfId="48792" xr:uid="{00000000-0005-0000-0000-0000021F0000}"/>
    <cellStyle name="Normal 2 2 2 2 2 2 2 2 2 20" xfId="48745" xr:uid="{00000000-0005-0000-0000-0000031F0000}"/>
    <cellStyle name="Normal 2 2 2 2 2 2 2 2 2 3" xfId="7232" xr:uid="{00000000-0005-0000-0000-0000041F0000}"/>
    <cellStyle name="Normal 2 2 2 2 2 2 2 2 2 3 2" xfId="48793" xr:uid="{00000000-0005-0000-0000-0000051F0000}"/>
    <cellStyle name="Normal 2 2 2 2 2 2 2 2 2 4" xfId="7233" xr:uid="{00000000-0005-0000-0000-0000061F0000}"/>
    <cellStyle name="Normal 2 2 2 2 2 2 2 2 2 4 2" xfId="48795" xr:uid="{00000000-0005-0000-0000-0000071F0000}"/>
    <cellStyle name="Normal 2 2 2 2 2 2 2 2 2 4 2 2" xfId="48796" xr:uid="{00000000-0005-0000-0000-0000081F0000}"/>
    <cellStyle name="Normal 2 2 2 2 2 2 2 2 2 4 2 3" xfId="48797" xr:uid="{00000000-0005-0000-0000-0000091F0000}"/>
    <cellStyle name="Normal 2 2 2 2 2 2 2 2 2 4 2 4" xfId="48798" xr:uid="{00000000-0005-0000-0000-00000A1F0000}"/>
    <cellStyle name="Normal 2 2 2 2 2 2 2 2 2 4 2 5" xfId="48799" xr:uid="{00000000-0005-0000-0000-00000B1F0000}"/>
    <cellStyle name="Normal 2 2 2 2 2 2 2 2 2 4 2 6" xfId="48800" xr:uid="{00000000-0005-0000-0000-00000C1F0000}"/>
    <cellStyle name="Normal 2 2 2 2 2 2 2 2 2 4 2 7" xfId="48801" xr:uid="{00000000-0005-0000-0000-00000D1F0000}"/>
    <cellStyle name="Normal 2 2 2 2 2 2 2 2 2 4 3" xfId="48802" xr:uid="{00000000-0005-0000-0000-00000E1F0000}"/>
    <cellStyle name="Normal 2 2 2 2 2 2 2 2 2 4 4" xfId="48803" xr:uid="{00000000-0005-0000-0000-00000F1F0000}"/>
    <cellStyle name="Normal 2 2 2 2 2 2 2 2 2 4 5" xfId="48804" xr:uid="{00000000-0005-0000-0000-0000101F0000}"/>
    <cellStyle name="Normal 2 2 2 2 2 2 2 2 2 4 6" xfId="48805" xr:uid="{00000000-0005-0000-0000-0000111F0000}"/>
    <cellStyle name="Normal 2 2 2 2 2 2 2 2 2 4 7" xfId="48806" xr:uid="{00000000-0005-0000-0000-0000121F0000}"/>
    <cellStyle name="Normal 2 2 2 2 2 2 2 2 2 4 8" xfId="48807" xr:uid="{00000000-0005-0000-0000-0000131F0000}"/>
    <cellStyle name="Normal 2 2 2 2 2 2 2 2 2 4 9" xfId="48794" xr:uid="{00000000-0005-0000-0000-0000141F0000}"/>
    <cellStyle name="Normal 2 2 2 2 2 2 2 2 2 5" xfId="7234" xr:uid="{00000000-0005-0000-0000-0000151F0000}"/>
    <cellStyle name="Normal 2 2 2 2 2 2 2 2 2 5 2" xfId="48808" xr:uid="{00000000-0005-0000-0000-0000161F0000}"/>
    <cellStyle name="Normal 2 2 2 2 2 2 2 2 2 6" xfId="7235" xr:uid="{00000000-0005-0000-0000-0000171F0000}"/>
    <cellStyle name="Normal 2 2 2 2 2 2 2 2 2 6 2" xfId="48810" xr:uid="{00000000-0005-0000-0000-0000181F0000}"/>
    <cellStyle name="Normal 2 2 2 2 2 2 2 2 2 6 3" xfId="48811" xr:uid="{00000000-0005-0000-0000-0000191F0000}"/>
    <cellStyle name="Normal 2 2 2 2 2 2 2 2 2 6 4" xfId="48812" xr:uid="{00000000-0005-0000-0000-00001A1F0000}"/>
    <cellStyle name="Normal 2 2 2 2 2 2 2 2 2 6 5" xfId="48813" xr:uid="{00000000-0005-0000-0000-00001B1F0000}"/>
    <cellStyle name="Normal 2 2 2 2 2 2 2 2 2 6 6" xfId="48814" xr:uid="{00000000-0005-0000-0000-00001C1F0000}"/>
    <cellStyle name="Normal 2 2 2 2 2 2 2 2 2 6 7" xfId="48815" xr:uid="{00000000-0005-0000-0000-00001D1F0000}"/>
    <cellStyle name="Normal 2 2 2 2 2 2 2 2 2 6 8" xfId="48809" xr:uid="{00000000-0005-0000-0000-00001E1F0000}"/>
    <cellStyle name="Normal 2 2 2 2 2 2 2 2 2 7" xfId="7236" xr:uid="{00000000-0005-0000-0000-00001F1F0000}"/>
    <cellStyle name="Normal 2 2 2 2 2 2 2 2 2 7 2" xfId="48816" xr:uid="{00000000-0005-0000-0000-0000201F0000}"/>
    <cellStyle name="Normal 2 2 2 2 2 2 2 2 2 8" xfId="7237" xr:uid="{00000000-0005-0000-0000-0000211F0000}"/>
    <cellStyle name="Normal 2 2 2 2 2 2 2 2 2 8 2" xfId="48817" xr:uid="{00000000-0005-0000-0000-0000221F0000}"/>
    <cellStyle name="Normal 2 2 2 2 2 2 2 2 2 9" xfId="7238" xr:uid="{00000000-0005-0000-0000-0000231F0000}"/>
    <cellStyle name="Normal 2 2 2 2 2 2 2 2 2 9 2" xfId="48818" xr:uid="{00000000-0005-0000-0000-0000241F0000}"/>
    <cellStyle name="Normal 2 2 2 2 2 2 2 2 2_Opex Input" xfId="48819" xr:uid="{00000000-0005-0000-0000-0000251F0000}"/>
    <cellStyle name="Normal 2 2 2 2 2 2 2 2 20" xfId="48820" xr:uid="{00000000-0005-0000-0000-0000261F0000}"/>
    <cellStyle name="Normal 2 2 2 2 2 2 2 2 21" xfId="48734" xr:uid="{00000000-0005-0000-0000-0000271F0000}"/>
    <cellStyle name="Normal 2 2 2 2 2 2 2 2 3" xfId="7239" xr:uid="{00000000-0005-0000-0000-0000281F0000}"/>
    <cellStyle name="Normal 2 2 2 2 2 2 2 2 3 2" xfId="48821" xr:uid="{00000000-0005-0000-0000-0000291F0000}"/>
    <cellStyle name="Normal 2 2 2 2 2 2 2 2 4" xfId="7240" xr:uid="{00000000-0005-0000-0000-00002A1F0000}"/>
    <cellStyle name="Normal 2 2 2 2 2 2 2 2 4 2" xfId="48822" xr:uid="{00000000-0005-0000-0000-00002B1F0000}"/>
    <cellStyle name="Normal 2 2 2 2 2 2 2 2 5" xfId="7241" xr:uid="{00000000-0005-0000-0000-00002C1F0000}"/>
    <cellStyle name="Normal 2 2 2 2 2 2 2 2 5 2" xfId="48824" xr:uid="{00000000-0005-0000-0000-00002D1F0000}"/>
    <cellStyle name="Normal 2 2 2 2 2 2 2 2 5 2 2" xfId="48825" xr:uid="{00000000-0005-0000-0000-00002E1F0000}"/>
    <cellStyle name="Normal 2 2 2 2 2 2 2 2 5 2 3" xfId="48826" xr:uid="{00000000-0005-0000-0000-00002F1F0000}"/>
    <cellStyle name="Normal 2 2 2 2 2 2 2 2 5 2 4" xfId="48827" xr:uid="{00000000-0005-0000-0000-0000301F0000}"/>
    <cellStyle name="Normal 2 2 2 2 2 2 2 2 5 2 5" xfId="48828" xr:uid="{00000000-0005-0000-0000-0000311F0000}"/>
    <cellStyle name="Normal 2 2 2 2 2 2 2 2 5 2 6" xfId="48829" xr:uid="{00000000-0005-0000-0000-0000321F0000}"/>
    <cellStyle name="Normal 2 2 2 2 2 2 2 2 5 2 7" xfId="48830" xr:uid="{00000000-0005-0000-0000-0000331F0000}"/>
    <cellStyle name="Normal 2 2 2 2 2 2 2 2 5 3" xfId="48831" xr:uid="{00000000-0005-0000-0000-0000341F0000}"/>
    <cellStyle name="Normal 2 2 2 2 2 2 2 2 5 4" xfId="48832" xr:uid="{00000000-0005-0000-0000-0000351F0000}"/>
    <cellStyle name="Normal 2 2 2 2 2 2 2 2 5 5" xfId="48833" xr:uid="{00000000-0005-0000-0000-0000361F0000}"/>
    <cellStyle name="Normal 2 2 2 2 2 2 2 2 5 6" xfId="48834" xr:uid="{00000000-0005-0000-0000-0000371F0000}"/>
    <cellStyle name="Normal 2 2 2 2 2 2 2 2 5 7" xfId="48835" xr:uid="{00000000-0005-0000-0000-0000381F0000}"/>
    <cellStyle name="Normal 2 2 2 2 2 2 2 2 5 8" xfId="48836" xr:uid="{00000000-0005-0000-0000-0000391F0000}"/>
    <cellStyle name="Normal 2 2 2 2 2 2 2 2 5 9" xfId="48823" xr:uid="{00000000-0005-0000-0000-00003A1F0000}"/>
    <cellStyle name="Normal 2 2 2 2 2 2 2 2 6" xfId="7242" xr:uid="{00000000-0005-0000-0000-00003B1F0000}"/>
    <cellStyle name="Normal 2 2 2 2 2 2 2 2 6 2" xfId="48837" xr:uid="{00000000-0005-0000-0000-00003C1F0000}"/>
    <cellStyle name="Normal 2 2 2 2 2 2 2 2 7" xfId="7243" xr:uid="{00000000-0005-0000-0000-00003D1F0000}"/>
    <cellStyle name="Normal 2 2 2 2 2 2 2 2 7 2" xfId="48839" xr:uid="{00000000-0005-0000-0000-00003E1F0000}"/>
    <cellStyle name="Normal 2 2 2 2 2 2 2 2 7 3" xfId="48840" xr:uid="{00000000-0005-0000-0000-00003F1F0000}"/>
    <cellStyle name="Normal 2 2 2 2 2 2 2 2 7 4" xfId="48841" xr:uid="{00000000-0005-0000-0000-0000401F0000}"/>
    <cellStyle name="Normal 2 2 2 2 2 2 2 2 7 5" xfId="48842" xr:uid="{00000000-0005-0000-0000-0000411F0000}"/>
    <cellStyle name="Normal 2 2 2 2 2 2 2 2 7 6" xfId="48843" xr:uid="{00000000-0005-0000-0000-0000421F0000}"/>
    <cellStyle name="Normal 2 2 2 2 2 2 2 2 7 7" xfId="48844" xr:uid="{00000000-0005-0000-0000-0000431F0000}"/>
    <cellStyle name="Normal 2 2 2 2 2 2 2 2 7 8" xfId="48838" xr:uid="{00000000-0005-0000-0000-0000441F0000}"/>
    <cellStyle name="Normal 2 2 2 2 2 2 2 2 8" xfId="7244" xr:uid="{00000000-0005-0000-0000-0000451F0000}"/>
    <cellStyle name="Normal 2 2 2 2 2 2 2 2 8 2" xfId="48845" xr:uid="{00000000-0005-0000-0000-0000461F0000}"/>
    <cellStyle name="Normal 2 2 2 2 2 2 2 2 9" xfId="7245" xr:uid="{00000000-0005-0000-0000-0000471F0000}"/>
    <cellStyle name="Normal 2 2 2 2 2 2 2 2 9 2" xfId="48846" xr:uid="{00000000-0005-0000-0000-0000481F0000}"/>
    <cellStyle name="Normal 2 2 2 2 2 2 2 2_ELEC SAP FCST UPLOAD" xfId="7246" xr:uid="{00000000-0005-0000-0000-0000491F0000}"/>
    <cellStyle name="Normal 2 2 2 2 2 2 2 20" xfId="7247" xr:uid="{00000000-0005-0000-0000-00004A1F0000}"/>
    <cellStyle name="Normal 2 2 2 2 2 2 2 20 2" xfId="48847" xr:uid="{00000000-0005-0000-0000-00004B1F0000}"/>
    <cellStyle name="Normal 2 2 2 2 2 2 2 21" xfId="7248" xr:uid="{00000000-0005-0000-0000-00004C1F0000}"/>
    <cellStyle name="Normal 2 2 2 2 2 2 2 21 2" xfId="48848" xr:uid="{00000000-0005-0000-0000-00004D1F0000}"/>
    <cellStyle name="Normal 2 2 2 2 2 2 2 22" xfId="7249" xr:uid="{00000000-0005-0000-0000-00004E1F0000}"/>
    <cellStyle name="Normal 2 2 2 2 2 2 2 22 2" xfId="48849" xr:uid="{00000000-0005-0000-0000-00004F1F0000}"/>
    <cellStyle name="Normal 2 2 2 2 2 2 2 23" xfId="48850" xr:uid="{00000000-0005-0000-0000-0000501F0000}"/>
    <cellStyle name="Normal 2 2 2 2 2 2 2 24" xfId="48717" xr:uid="{00000000-0005-0000-0000-0000511F0000}"/>
    <cellStyle name="Normal 2 2 2 2 2 2 2 3" xfId="7250" xr:uid="{00000000-0005-0000-0000-0000521F0000}"/>
    <cellStyle name="Normal 2 2 2 2 2 2 2 3 2" xfId="48851" xr:uid="{00000000-0005-0000-0000-0000531F0000}"/>
    <cellStyle name="Normal 2 2 2 2 2 2 2 4" xfId="7251" xr:uid="{00000000-0005-0000-0000-0000541F0000}"/>
    <cellStyle name="Normal 2 2 2 2 2 2 2 4 2" xfId="48852" xr:uid="{00000000-0005-0000-0000-0000551F0000}"/>
    <cellStyle name="Normal 2 2 2 2 2 2 2 5" xfId="7252" xr:uid="{00000000-0005-0000-0000-0000561F0000}"/>
    <cellStyle name="Normal 2 2 2 2 2 2 2 5 2" xfId="48853" xr:uid="{00000000-0005-0000-0000-0000571F0000}"/>
    <cellStyle name="Normal 2 2 2 2 2 2 2 6" xfId="7253" xr:uid="{00000000-0005-0000-0000-0000581F0000}"/>
    <cellStyle name="Normal 2 2 2 2 2 2 2 6 2" xfId="48854" xr:uid="{00000000-0005-0000-0000-0000591F0000}"/>
    <cellStyle name="Normal 2 2 2 2 2 2 2 7" xfId="7254" xr:uid="{00000000-0005-0000-0000-00005A1F0000}"/>
    <cellStyle name="Normal 2 2 2 2 2 2 2 7 2" xfId="48855" xr:uid="{00000000-0005-0000-0000-00005B1F0000}"/>
    <cellStyle name="Normal 2 2 2 2 2 2 2 8" xfId="7255" xr:uid="{00000000-0005-0000-0000-00005C1F0000}"/>
    <cellStyle name="Normal 2 2 2 2 2 2 2 8 2" xfId="48857" xr:uid="{00000000-0005-0000-0000-00005D1F0000}"/>
    <cellStyle name="Normal 2 2 2 2 2 2 2 8 2 2" xfId="48858" xr:uid="{00000000-0005-0000-0000-00005E1F0000}"/>
    <cellStyle name="Normal 2 2 2 2 2 2 2 8 2 3" xfId="48859" xr:uid="{00000000-0005-0000-0000-00005F1F0000}"/>
    <cellStyle name="Normal 2 2 2 2 2 2 2 8 2 4" xfId="48860" xr:uid="{00000000-0005-0000-0000-0000601F0000}"/>
    <cellStyle name="Normal 2 2 2 2 2 2 2 8 2 5" xfId="48861" xr:uid="{00000000-0005-0000-0000-0000611F0000}"/>
    <cellStyle name="Normal 2 2 2 2 2 2 2 8 2 6" xfId="48862" xr:uid="{00000000-0005-0000-0000-0000621F0000}"/>
    <cellStyle name="Normal 2 2 2 2 2 2 2 8 2 7" xfId="48863" xr:uid="{00000000-0005-0000-0000-0000631F0000}"/>
    <cellStyle name="Normal 2 2 2 2 2 2 2 8 3" xfId="48864" xr:uid="{00000000-0005-0000-0000-0000641F0000}"/>
    <cellStyle name="Normal 2 2 2 2 2 2 2 8 4" xfId="48865" xr:uid="{00000000-0005-0000-0000-0000651F0000}"/>
    <cellStyle name="Normal 2 2 2 2 2 2 2 8 5" xfId="48866" xr:uid="{00000000-0005-0000-0000-0000661F0000}"/>
    <cellStyle name="Normal 2 2 2 2 2 2 2 8 6" xfId="48867" xr:uid="{00000000-0005-0000-0000-0000671F0000}"/>
    <cellStyle name="Normal 2 2 2 2 2 2 2 8 7" xfId="48868" xr:uid="{00000000-0005-0000-0000-0000681F0000}"/>
    <cellStyle name="Normal 2 2 2 2 2 2 2 8 8" xfId="48869" xr:uid="{00000000-0005-0000-0000-0000691F0000}"/>
    <cellStyle name="Normal 2 2 2 2 2 2 2 8 9" xfId="48856" xr:uid="{00000000-0005-0000-0000-00006A1F0000}"/>
    <cellStyle name="Normal 2 2 2 2 2 2 2 9" xfId="7256" xr:uid="{00000000-0005-0000-0000-00006B1F0000}"/>
    <cellStyle name="Normal 2 2 2 2 2 2 2 9 2" xfId="48870" xr:uid="{00000000-0005-0000-0000-00006C1F0000}"/>
    <cellStyle name="Normal 2 2 2 2 2 2 2_ELEC SAP FCST UPLOAD" xfId="7257" xr:uid="{00000000-0005-0000-0000-00006D1F0000}"/>
    <cellStyle name="Normal 2 2 2 2 2 2 20" xfId="7258" xr:uid="{00000000-0005-0000-0000-00006E1F0000}"/>
    <cellStyle name="Normal 2 2 2 2 2 2 20 2" xfId="48871" xr:uid="{00000000-0005-0000-0000-00006F1F0000}"/>
    <cellStyle name="Normal 2 2 2 2 2 2 21" xfId="7259" xr:uid="{00000000-0005-0000-0000-0000701F0000}"/>
    <cellStyle name="Normal 2 2 2 2 2 2 21 2" xfId="48872" xr:uid="{00000000-0005-0000-0000-0000711F0000}"/>
    <cellStyle name="Normal 2 2 2 2 2 2 22" xfId="7260" xr:uid="{00000000-0005-0000-0000-0000721F0000}"/>
    <cellStyle name="Normal 2 2 2 2 2 2 22 2" xfId="48873" xr:uid="{00000000-0005-0000-0000-0000731F0000}"/>
    <cellStyle name="Normal 2 2 2 2 2 2 23" xfId="48874" xr:uid="{00000000-0005-0000-0000-0000741F0000}"/>
    <cellStyle name="Normal 2 2 2 2 2 2 24" xfId="48700" xr:uid="{00000000-0005-0000-0000-0000751F0000}"/>
    <cellStyle name="Normal 2 2 2 2 2 2 3" xfId="7261" xr:uid="{00000000-0005-0000-0000-0000761F0000}"/>
    <cellStyle name="Normal 2 2 2 2 2 2 3 2" xfId="7262" xr:uid="{00000000-0005-0000-0000-0000771F0000}"/>
    <cellStyle name="Normal 2 2 2 2 2 2 3 2 2" xfId="48876" xr:uid="{00000000-0005-0000-0000-0000781F0000}"/>
    <cellStyle name="Normal 2 2 2 2 2 2 3 3" xfId="7263" xr:uid="{00000000-0005-0000-0000-0000791F0000}"/>
    <cellStyle name="Normal 2 2 2 2 2 2 3 3 2" xfId="48877" xr:uid="{00000000-0005-0000-0000-00007A1F0000}"/>
    <cellStyle name="Normal 2 2 2 2 2 2 3 4" xfId="48875" xr:uid="{00000000-0005-0000-0000-00007B1F0000}"/>
    <cellStyle name="Normal 2 2 2 2 2 2 3_ELEC SAP FCST UPLOAD" xfId="7264" xr:uid="{00000000-0005-0000-0000-00007C1F0000}"/>
    <cellStyle name="Normal 2 2 2 2 2 2 4" xfId="7265" xr:uid="{00000000-0005-0000-0000-00007D1F0000}"/>
    <cellStyle name="Normal 2 2 2 2 2 2 4 2" xfId="48878" xr:uid="{00000000-0005-0000-0000-00007E1F0000}"/>
    <cellStyle name="Normal 2 2 2 2 2 2 5" xfId="7266" xr:uid="{00000000-0005-0000-0000-00007F1F0000}"/>
    <cellStyle name="Normal 2 2 2 2 2 2 5 2" xfId="48879" xr:uid="{00000000-0005-0000-0000-0000801F0000}"/>
    <cellStyle name="Normal 2 2 2 2 2 2 6" xfId="7267" xr:uid="{00000000-0005-0000-0000-0000811F0000}"/>
    <cellStyle name="Normal 2 2 2 2 2 2 6 2" xfId="48880" xr:uid="{00000000-0005-0000-0000-0000821F0000}"/>
    <cellStyle name="Normal 2 2 2 2 2 2 7" xfId="7268" xr:uid="{00000000-0005-0000-0000-0000831F0000}"/>
    <cellStyle name="Normal 2 2 2 2 2 2 7 2" xfId="48881" xr:uid="{00000000-0005-0000-0000-0000841F0000}"/>
    <cellStyle name="Normal 2 2 2 2 2 2 8" xfId="7269" xr:uid="{00000000-0005-0000-0000-0000851F0000}"/>
    <cellStyle name="Normal 2 2 2 2 2 2 8 2" xfId="48883" xr:uid="{00000000-0005-0000-0000-0000861F0000}"/>
    <cellStyle name="Normal 2 2 2 2 2 2 8 2 2" xfId="48884" xr:uid="{00000000-0005-0000-0000-0000871F0000}"/>
    <cellStyle name="Normal 2 2 2 2 2 2 8 2 3" xfId="48885" xr:uid="{00000000-0005-0000-0000-0000881F0000}"/>
    <cellStyle name="Normal 2 2 2 2 2 2 8 2 4" xfId="48886" xr:uid="{00000000-0005-0000-0000-0000891F0000}"/>
    <cellStyle name="Normal 2 2 2 2 2 2 8 2 5" xfId="48887" xr:uid="{00000000-0005-0000-0000-00008A1F0000}"/>
    <cellStyle name="Normal 2 2 2 2 2 2 8 2 6" xfId="48888" xr:uid="{00000000-0005-0000-0000-00008B1F0000}"/>
    <cellStyle name="Normal 2 2 2 2 2 2 8 2 7" xfId="48889" xr:uid="{00000000-0005-0000-0000-00008C1F0000}"/>
    <cellStyle name="Normal 2 2 2 2 2 2 8 3" xfId="48890" xr:uid="{00000000-0005-0000-0000-00008D1F0000}"/>
    <cellStyle name="Normal 2 2 2 2 2 2 8 4" xfId="48891" xr:uid="{00000000-0005-0000-0000-00008E1F0000}"/>
    <cellStyle name="Normal 2 2 2 2 2 2 8 5" xfId="48892" xr:uid="{00000000-0005-0000-0000-00008F1F0000}"/>
    <cellStyle name="Normal 2 2 2 2 2 2 8 6" xfId="48893" xr:uid="{00000000-0005-0000-0000-0000901F0000}"/>
    <cellStyle name="Normal 2 2 2 2 2 2 8 7" xfId="48894" xr:uid="{00000000-0005-0000-0000-0000911F0000}"/>
    <cellStyle name="Normal 2 2 2 2 2 2 8 8" xfId="48895" xr:uid="{00000000-0005-0000-0000-0000921F0000}"/>
    <cellStyle name="Normal 2 2 2 2 2 2 8 9" xfId="48882" xr:uid="{00000000-0005-0000-0000-0000931F0000}"/>
    <cellStyle name="Normal 2 2 2 2 2 2 9" xfId="7270" xr:uid="{00000000-0005-0000-0000-0000941F0000}"/>
    <cellStyle name="Normal 2 2 2 2 2 2 9 2" xfId="48896" xr:uid="{00000000-0005-0000-0000-0000951F0000}"/>
    <cellStyle name="Normal 2 2 2 2 2 2_ELEC SAP FCST UPLOAD" xfId="7271" xr:uid="{00000000-0005-0000-0000-0000961F0000}"/>
    <cellStyle name="Normal 2 2 2 2 2 20" xfId="7272" xr:uid="{00000000-0005-0000-0000-0000971F0000}"/>
    <cellStyle name="Normal 2 2 2 2 2 20 2" xfId="48897" xr:uid="{00000000-0005-0000-0000-0000981F0000}"/>
    <cellStyle name="Normal 2 2 2 2 2 21" xfId="7273" xr:uid="{00000000-0005-0000-0000-0000991F0000}"/>
    <cellStyle name="Normal 2 2 2 2 2 21 2" xfId="48898" xr:uid="{00000000-0005-0000-0000-00009A1F0000}"/>
    <cellStyle name="Normal 2 2 2 2 2 22" xfId="7274" xr:uid="{00000000-0005-0000-0000-00009B1F0000}"/>
    <cellStyle name="Normal 2 2 2 2 2 22 2" xfId="48899" xr:uid="{00000000-0005-0000-0000-00009C1F0000}"/>
    <cellStyle name="Normal 2 2 2 2 2 23" xfId="7275" xr:uid="{00000000-0005-0000-0000-00009D1F0000}"/>
    <cellStyle name="Normal 2 2 2 2 2 23 2" xfId="48900" xr:uid="{00000000-0005-0000-0000-00009E1F0000}"/>
    <cellStyle name="Normal 2 2 2 2 2 24" xfId="48901" xr:uid="{00000000-0005-0000-0000-00009F1F0000}"/>
    <cellStyle name="Normal 2 2 2 2 2 25" xfId="48683" xr:uid="{00000000-0005-0000-0000-0000A01F0000}"/>
    <cellStyle name="Normal 2 2 2 2 2 3" xfId="7276" xr:uid="{00000000-0005-0000-0000-0000A11F0000}"/>
    <cellStyle name="Normal 2 2 2 2 2 3 2" xfId="7277" xr:uid="{00000000-0005-0000-0000-0000A21F0000}"/>
    <cellStyle name="Normal 2 2 2 2 2 3 2 2" xfId="48903" xr:uid="{00000000-0005-0000-0000-0000A31F0000}"/>
    <cellStyle name="Normal 2 2 2 2 2 3 3" xfId="7278" xr:uid="{00000000-0005-0000-0000-0000A41F0000}"/>
    <cellStyle name="Normal 2 2 2 2 2 3 3 2" xfId="48904" xr:uid="{00000000-0005-0000-0000-0000A51F0000}"/>
    <cellStyle name="Normal 2 2 2 2 2 3 4" xfId="48902" xr:uid="{00000000-0005-0000-0000-0000A61F0000}"/>
    <cellStyle name="Normal 2 2 2 2 2 3_ELEC SAP FCST UPLOAD" xfId="7279" xr:uid="{00000000-0005-0000-0000-0000A71F0000}"/>
    <cellStyle name="Normal 2 2 2 2 2 4" xfId="7280" xr:uid="{00000000-0005-0000-0000-0000A81F0000}"/>
    <cellStyle name="Normal 2 2 2 2 2 4 2" xfId="48905" xr:uid="{00000000-0005-0000-0000-0000A91F0000}"/>
    <cellStyle name="Normal 2 2 2 2 2 5" xfId="7281" xr:uid="{00000000-0005-0000-0000-0000AA1F0000}"/>
    <cellStyle name="Normal 2 2 2 2 2 5 2" xfId="48906" xr:uid="{00000000-0005-0000-0000-0000AB1F0000}"/>
    <cellStyle name="Normal 2 2 2 2 2 6" xfId="7282" xr:uid="{00000000-0005-0000-0000-0000AC1F0000}"/>
    <cellStyle name="Normal 2 2 2 2 2 6 2" xfId="48907" xr:uid="{00000000-0005-0000-0000-0000AD1F0000}"/>
    <cellStyle name="Normal 2 2 2 2 2 7" xfId="7283" xr:uid="{00000000-0005-0000-0000-0000AE1F0000}"/>
    <cellStyle name="Normal 2 2 2 2 2 7 2" xfId="48908" xr:uid="{00000000-0005-0000-0000-0000AF1F0000}"/>
    <cellStyle name="Normal 2 2 2 2 2 8" xfId="7284" xr:uid="{00000000-0005-0000-0000-0000B01F0000}"/>
    <cellStyle name="Normal 2 2 2 2 2 8 2" xfId="48909" xr:uid="{00000000-0005-0000-0000-0000B11F0000}"/>
    <cellStyle name="Normal 2 2 2 2 2 9" xfId="7285" xr:uid="{00000000-0005-0000-0000-0000B21F0000}"/>
    <cellStyle name="Normal 2 2 2 2 2 9 2" xfId="48911" xr:uid="{00000000-0005-0000-0000-0000B31F0000}"/>
    <cellStyle name="Normal 2 2 2 2 2 9 2 2" xfId="48912" xr:uid="{00000000-0005-0000-0000-0000B41F0000}"/>
    <cellStyle name="Normal 2 2 2 2 2 9 2 3" xfId="48913" xr:uid="{00000000-0005-0000-0000-0000B51F0000}"/>
    <cellStyle name="Normal 2 2 2 2 2 9 2 4" xfId="48914" xr:uid="{00000000-0005-0000-0000-0000B61F0000}"/>
    <cellStyle name="Normal 2 2 2 2 2 9 2 5" xfId="48915" xr:uid="{00000000-0005-0000-0000-0000B71F0000}"/>
    <cellStyle name="Normal 2 2 2 2 2 9 2 6" xfId="48916" xr:uid="{00000000-0005-0000-0000-0000B81F0000}"/>
    <cellStyle name="Normal 2 2 2 2 2 9 2 7" xfId="48917" xr:uid="{00000000-0005-0000-0000-0000B91F0000}"/>
    <cellStyle name="Normal 2 2 2 2 2 9 3" xfId="48918" xr:uid="{00000000-0005-0000-0000-0000BA1F0000}"/>
    <cellStyle name="Normal 2 2 2 2 2 9 4" xfId="48919" xr:uid="{00000000-0005-0000-0000-0000BB1F0000}"/>
    <cellStyle name="Normal 2 2 2 2 2 9 5" xfId="48920" xr:uid="{00000000-0005-0000-0000-0000BC1F0000}"/>
    <cellStyle name="Normal 2 2 2 2 2 9 6" xfId="48921" xr:uid="{00000000-0005-0000-0000-0000BD1F0000}"/>
    <cellStyle name="Normal 2 2 2 2 2 9 7" xfId="48922" xr:uid="{00000000-0005-0000-0000-0000BE1F0000}"/>
    <cellStyle name="Normal 2 2 2 2 2 9 8" xfId="48923" xr:uid="{00000000-0005-0000-0000-0000BF1F0000}"/>
    <cellStyle name="Normal 2 2 2 2 2 9 9" xfId="48910" xr:uid="{00000000-0005-0000-0000-0000C01F0000}"/>
    <cellStyle name="Normal 2 2 2 2 2_ELEC SAP FCST UPLOAD" xfId="7286" xr:uid="{00000000-0005-0000-0000-0000C11F0000}"/>
    <cellStyle name="Normal 2 2 2 2 20" xfId="7287" xr:uid="{00000000-0005-0000-0000-0000C21F0000}"/>
    <cellStyle name="Normal 2 2 2 2 20 2" xfId="48924" xr:uid="{00000000-0005-0000-0000-0000C31F0000}"/>
    <cellStyle name="Normal 2 2 2 2 21" xfId="7288" xr:uid="{00000000-0005-0000-0000-0000C41F0000}"/>
    <cellStyle name="Normal 2 2 2 2 21 2" xfId="48925" xr:uid="{00000000-0005-0000-0000-0000C51F0000}"/>
    <cellStyle name="Normal 2 2 2 2 22" xfId="7289" xr:uid="{00000000-0005-0000-0000-0000C61F0000}"/>
    <cellStyle name="Normal 2 2 2 2 22 2" xfId="48926" xr:uid="{00000000-0005-0000-0000-0000C71F0000}"/>
    <cellStyle name="Normal 2 2 2 2 23" xfId="7290" xr:uid="{00000000-0005-0000-0000-0000C81F0000}"/>
    <cellStyle name="Normal 2 2 2 2 23 2" xfId="48927" xr:uid="{00000000-0005-0000-0000-0000C91F0000}"/>
    <cellStyle name="Normal 2 2 2 2 24" xfId="7291" xr:uid="{00000000-0005-0000-0000-0000CA1F0000}"/>
    <cellStyle name="Normal 2 2 2 2 24 2" xfId="48928"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1" xr:uid="{00000000-0005-0000-0000-0000D41F0000}"/>
    <cellStyle name="Normal 2 2 2 2 3 2 3" xfId="7300" xr:uid="{00000000-0005-0000-0000-0000D51F0000}"/>
    <cellStyle name="Normal 2 2 2 2 3 2 3 2" xfId="48932" xr:uid="{00000000-0005-0000-0000-0000D61F0000}"/>
    <cellStyle name="Normal 2 2 2 2 3 2 4" xfId="48930" xr:uid="{00000000-0005-0000-0000-0000D71F0000}"/>
    <cellStyle name="Normal 2 2 2 2 3 2_ELEC SAP FCST UPLOAD" xfId="7301" xr:uid="{00000000-0005-0000-0000-0000D81F0000}"/>
    <cellStyle name="Normal 2 2 2 2 3 3" xfId="7302" xr:uid="{00000000-0005-0000-0000-0000D91F0000}"/>
    <cellStyle name="Normal 2 2 2 2 3 3 2" xfId="48933" xr:uid="{00000000-0005-0000-0000-0000DA1F0000}"/>
    <cellStyle name="Normal 2 2 2 2 3 4" xfId="7303" xr:uid="{00000000-0005-0000-0000-0000DB1F0000}"/>
    <cellStyle name="Normal 2 2 2 2 3 4 2" xfId="48934" xr:uid="{00000000-0005-0000-0000-0000DC1F0000}"/>
    <cellStyle name="Normal 2 2 2 2 3 5" xfId="7304" xr:uid="{00000000-0005-0000-0000-0000DD1F0000}"/>
    <cellStyle name="Normal 2 2 2 2 3 5 2" xfId="48935" xr:uid="{00000000-0005-0000-0000-0000DE1F0000}"/>
    <cellStyle name="Normal 2 2 2 2 3 6" xfId="7305" xr:uid="{00000000-0005-0000-0000-0000DF1F0000}"/>
    <cellStyle name="Normal 2 2 2 2 3 6 2" xfId="48936" xr:uid="{00000000-0005-0000-0000-0000E01F0000}"/>
    <cellStyle name="Normal 2 2 2 2 3 7" xfId="48929"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8" xr:uid="{00000000-0005-0000-0000-0000EF1F0000}"/>
    <cellStyle name="Normal 2 2 2 2 4 3" xfId="7319" xr:uid="{00000000-0005-0000-0000-0000F01F0000}"/>
    <cellStyle name="Normal 2 2 2 2 4 3 2" xfId="48939" xr:uid="{00000000-0005-0000-0000-0000F11F0000}"/>
    <cellStyle name="Normal 2 2 2 2 4 4" xfId="48937"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40"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1"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2"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3"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6" xr:uid="{00000000-0005-0000-0000-000039200000}"/>
    <cellStyle name="Normal 2 2 2 2 9" xfId="7386" xr:uid="{00000000-0005-0000-0000-00003A200000}"/>
    <cellStyle name="Normal 2 2 2 2 9 2" xfId="48945" xr:uid="{00000000-0005-0000-0000-00003B200000}"/>
    <cellStyle name="Normal 2 2 2 2 9 2 2" xfId="48946" xr:uid="{00000000-0005-0000-0000-00003C200000}"/>
    <cellStyle name="Normal 2 2 2 2 9 2 3" xfId="48947" xr:uid="{00000000-0005-0000-0000-00003D200000}"/>
    <cellStyle name="Normal 2 2 2 2 9 2 4" xfId="48948" xr:uid="{00000000-0005-0000-0000-00003E200000}"/>
    <cellStyle name="Normal 2 2 2 2 9 2 5" xfId="48949" xr:uid="{00000000-0005-0000-0000-00003F200000}"/>
    <cellStyle name="Normal 2 2 2 2 9 2 6" xfId="48950" xr:uid="{00000000-0005-0000-0000-000040200000}"/>
    <cellStyle name="Normal 2 2 2 2 9 2 7" xfId="48951" xr:uid="{00000000-0005-0000-0000-000041200000}"/>
    <cellStyle name="Normal 2 2 2 2 9 3" xfId="48952" xr:uid="{00000000-0005-0000-0000-000042200000}"/>
    <cellStyle name="Normal 2 2 2 2 9 4" xfId="48953" xr:uid="{00000000-0005-0000-0000-000043200000}"/>
    <cellStyle name="Normal 2 2 2 2 9 5" xfId="48954" xr:uid="{00000000-0005-0000-0000-000044200000}"/>
    <cellStyle name="Normal 2 2 2 2 9 6" xfId="48955" xr:uid="{00000000-0005-0000-0000-000045200000}"/>
    <cellStyle name="Normal 2 2 2 2 9 7" xfId="48956" xr:uid="{00000000-0005-0000-0000-000046200000}"/>
    <cellStyle name="Normal 2 2 2 2 9 8" xfId="48957" xr:uid="{00000000-0005-0000-0000-000047200000}"/>
    <cellStyle name="Normal 2 2 2 2 9 9" xfId="48944" xr:uid="{00000000-0005-0000-0000-000048200000}"/>
    <cellStyle name="Normal 2 2 2 2_ELEC SAP FCST UPLOAD" xfId="7387" xr:uid="{00000000-0005-0000-0000-000049200000}"/>
    <cellStyle name="Normal 2 2 2 20" xfId="7388" xr:uid="{00000000-0005-0000-0000-00004A200000}"/>
    <cellStyle name="Normal 2 2 2 20 2" xfId="48958" xr:uid="{00000000-0005-0000-0000-00004B200000}"/>
    <cellStyle name="Normal 2 2 2 21" xfId="7389" xr:uid="{00000000-0005-0000-0000-00004C200000}"/>
    <cellStyle name="Normal 2 2 2 21 2" xfId="48959" xr:uid="{00000000-0005-0000-0000-00004D200000}"/>
    <cellStyle name="Normal 2 2 2 22" xfId="7390" xr:uid="{00000000-0005-0000-0000-00004E200000}"/>
    <cellStyle name="Normal 2 2 2 22 2" xfId="48960" xr:uid="{00000000-0005-0000-0000-00004F200000}"/>
    <cellStyle name="Normal 2 2 2 23" xfId="7391" xr:uid="{00000000-0005-0000-0000-000050200000}"/>
    <cellStyle name="Normal 2 2 2 23 2" xfId="48961" xr:uid="{00000000-0005-0000-0000-000051200000}"/>
    <cellStyle name="Normal 2 2 2 24" xfId="7392" xr:uid="{00000000-0005-0000-0000-000052200000}"/>
    <cellStyle name="Normal 2 2 2 24 2" xfId="48962" xr:uid="{00000000-0005-0000-0000-000053200000}"/>
    <cellStyle name="Normal 2 2 2 25" xfId="7393" xr:uid="{00000000-0005-0000-0000-000054200000}"/>
    <cellStyle name="Normal 2 2 2 25 2" xfId="48963" xr:uid="{00000000-0005-0000-0000-000055200000}"/>
    <cellStyle name="Normal 2 2 2 26" xfId="7394" xr:uid="{00000000-0005-0000-0000-000056200000}"/>
    <cellStyle name="Normal 2 2 2 26 2" xfId="48964"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5"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9" xr:uid="{00000000-0005-0000-0000-00006B200000}"/>
    <cellStyle name="Normal 2 2 2 4 2 2 3" xfId="7413" xr:uid="{00000000-0005-0000-0000-00006C200000}"/>
    <cellStyle name="Normal 2 2 2 4 2 2 3 2" xfId="48970" xr:uid="{00000000-0005-0000-0000-00006D200000}"/>
    <cellStyle name="Normal 2 2 2 4 2 2 4" xfId="48968" xr:uid="{00000000-0005-0000-0000-00006E200000}"/>
    <cellStyle name="Normal 2 2 2 4 2 2_ELEC SAP FCST UPLOAD" xfId="7414" xr:uid="{00000000-0005-0000-0000-00006F200000}"/>
    <cellStyle name="Normal 2 2 2 4 2 3" xfId="7415" xr:uid="{00000000-0005-0000-0000-000070200000}"/>
    <cellStyle name="Normal 2 2 2 4 2 3 2" xfId="48971" xr:uid="{00000000-0005-0000-0000-000071200000}"/>
    <cellStyle name="Normal 2 2 2 4 2 4" xfId="7416" xr:uid="{00000000-0005-0000-0000-000072200000}"/>
    <cellStyle name="Normal 2 2 2 4 2 4 2" xfId="48972" xr:uid="{00000000-0005-0000-0000-000073200000}"/>
    <cellStyle name="Normal 2 2 2 4 2 5" xfId="7417" xr:uid="{00000000-0005-0000-0000-000074200000}"/>
    <cellStyle name="Normal 2 2 2 4 2 5 2" xfId="48973" xr:uid="{00000000-0005-0000-0000-000075200000}"/>
    <cellStyle name="Normal 2 2 2 4 2 6" xfId="7418" xr:uid="{00000000-0005-0000-0000-000076200000}"/>
    <cellStyle name="Normal 2 2 2 4 2 6 2" xfId="48974" xr:uid="{00000000-0005-0000-0000-000077200000}"/>
    <cellStyle name="Normal 2 2 2 4 2 7" xfId="48967"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6" xr:uid="{00000000-0005-0000-0000-00007C200000}"/>
    <cellStyle name="Normal 2 2 2 4 3 3" xfId="7422" xr:uid="{00000000-0005-0000-0000-00007D200000}"/>
    <cellStyle name="Normal 2 2 2 4 3 3 2" xfId="48977" xr:uid="{00000000-0005-0000-0000-00007E200000}"/>
    <cellStyle name="Normal 2 2 2 4 3 4" xfId="48975" xr:uid="{00000000-0005-0000-0000-00007F200000}"/>
    <cellStyle name="Normal 2 2 2 4 3_ELEC SAP FCST UPLOAD" xfId="7423" xr:uid="{00000000-0005-0000-0000-000080200000}"/>
    <cellStyle name="Normal 2 2 2 4 4" xfId="7424" xr:uid="{00000000-0005-0000-0000-000081200000}"/>
    <cellStyle name="Normal 2 2 2 4 4 2" xfId="48978" xr:uid="{00000000-0005-0000-0000-000082200000}"/>
    <cellStyle name="Normal 2 2 2 4 5" xfId="7425" xr:uid="{00000000-0005-0000-0000-000083200000}"/>
    <cellStyle name="Normal 2 2 2 4 5 2" xfId="48979" xr:uid="{00000000-0005-0000-0000-000084200000}"/>
    <cellStyle name="Normal 2 2 2 4 6" xfId="7426" xr:uid="{00000000-0005-0000-0000-000085200000}"/>
    <cellStyle name="Normal 2 2 2 4 6 2" xfId="48980" xr:uid="{00000000-0005-0000-0000-000086200000}"/>
    <cellStyle name="Normal 2 2 2 4 7" xfId="48966"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2" xr:uid="{00000000-0005-0000-0000-000095200000}"/>
    <cellStyle name="Normal 2 2 2 5 3" xfId="7440" xr:uid="{00000000-0005-0000-0000-000096200000}"/>
    <cellStyle name="Normal 2 2 2 5 3 2" xfId="48983" xr:uid="{00000000-0005-0000-0000-000097200000}"/>
    <cellStyle name="Normal 2 2 2 5 4" xfId="48981"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4"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5"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6"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6" xr:uid="{00000000-0005-0000-0000-0000C5200000}"/>
    <cellStyle name="Normal 2 2 2 9" xfId="7482" xr:uid="{00000000-0005-0000-0000-0000C6200000}"/>
    <cellStyle name="Normal 2 2 2 9 2" xfId="48987" xr:uid="{00000000-0005-0000-0000-0000C7200000}"/>
    <cellStyle name="Normal 2 2 2_3.1.2 DB Pension Detail" xfId="7483" xr:uid="{00000000-0005-0000-0000-0000C8200000}"/>
    <cellStyle name="Normal 2 2 20" xfId="7484" xr:uid="{00000000-0005-0000-0000-0000C9200000}"/>
    <cellStyle name="Normal 2 2 20 2" xfId="48988" xr:uid="{00000000-0005-0000-0000-0000CA200000}"/>
    <cellStyle name="Normal 2 2 21" xfId="7485" xr:uid="{00000000-0005-0000-0000-0000CB200000}"/>
    <cellStyle name="Normal 2 2 21 2" xfId="48989" xr:uid="{00000000-0005-0000-0000-0000CC200000}"/>
    <cellStyle name="Normal 2 2 22" xfId="7486" xr:uid="{00000000-0005-0000-0000-0000CD200000}"/>
    <cellStyle name="Normal 2 2 22 2" xfId="48990" xr:uid="{00000000-0005-0000-0000-0000CE200000}"/>
    <cellStyle name="Normal 2 2 23" xfId="7487" xr:uid="{00000000-0005-0000-0000-0000CF200000}"/>
    <cellStyle name="Normal 2 2 23 2" xfId="48991" xr:uid="{00000000-0005-0000-0000-0000D0200000}"/>
    <cellStyle name="Normal 2 2 24" xfId="7488" xr:uid="{00000000-0005-0000-0000-0000D1200000}"/>
    <cellStyle name="Normal 2 2 24 2" xfId="48992" xr:uid="{00000000-0005-0000-0000-0000D2200000}"/>
    <cellStyle name="Normal 2 2 25" xfId="7489" xr:uid="{00000000-0005-0000-0000-0000D3200000}"/>
    <cellStyle name="Normal 2 2 25 2" xfId="48993" xr:uid="{00000000-0005-0000-0000-0000D4200000}"/>
    <cellStyle name="Normal 2 2 26" xfId="7490" xr:uid="{00000000-0005-0000-0000-0000D5200000}"/>
    <cellStyle name="Normal 2 2 26 2" xfId="48994"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9000"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9" xr:uid="{00000000-0005-0000-0000-000024210000}"/>
    <cellStyle name="Normal 2 2 3 2 2 2 2 3" xfId="7567" xr:uid="{00000000-0005-0000-0000-000025210000}"/>
    <cellStyle name="Normal 2 2 3 2 2 2 2 3 2" xfId="49001"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8" xr:uid="{00000000-0005-0000-0000-000031210000}"/>
    <cellStyle name="Normal 2 2 3 2 2 2 3" xfId="7578" xr:uid="{00000000-0005-0000-0000-000032210000}"/>
    <cellStyle name="Normal 2 2 3 2 2 2 3 2" xfId="49002" xr:uid="{00000000-0005-0000-0000-000033210000}"/>
    <cellStyle name="Normal 2 2 3 2 2 2 4" xfId="7579" xr:uid="{00000000-0005-0000-0000-000034210000}"/>
    <cellStyle name="Normal 2 2 3 2 2 2 4 2" xfId="49003" xr:uid="{00000000-0005-0000-0000-000035210000}"/>
    <cellStyle name="Normal 2 2 3 2 2 2 5" xfId="7580" xr:uid="{00000000-0005-0000-0000-000036210000}"/>
    <cellStyle name="Normal 2 2 3 2 2 2 5 2" xfId="49004" xr:uid="{00000000-0005-0000-0000-000037210000}"/>
    <cellStyle name="Normal 2 2 3 2 2 2 6" xfId="7581" xr:uid="{00000000-0005-0000-0000-000038210000}"/>
    <cellStyle name="Normal 2 2 3 2 2 2 6 2" xfId="49005"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7" xr:uid="{00000000-0005-0000-0000-000041210000}"/>
    <cellStyle name="Normal 2 2 3 2 2 3" xfId="7589" xr:uid="{00000000-0005-0000-0000-000042210000}"/>
    <cellStyle name="Normal 2 2 3 2 2 3 2" xfId="7590" xr:uid="{00000000-0005-0000-0000-000043210000}"/>
    <cellStyle name="Normal 2 2 3 2 2 3 2 2" xfId="49007" xr:uid="{00000000-0005-0000-0000-000044210000}"/>
    <cellStyle name="Normal 2 2 3 2 2 3 3" xfId="7591" xr:uid="{00000000-0005-0000-0000-000045210000}"/>
    <cellStyle name="Normal 2 2 3 2 2 3 3 2" xfId="49008" xr:uid="{00000000-0005-0000-0000-000046210000}"/>
    <cellStyle name="Normal 2 2 3 2 2 3 4" xfId="49006" xr:uid="{00000000-0005-0000-0000-000047210000}"/>
    <cellStyle name="Normal 2 2 3 2 2 3_ELEC SAP FCST UPLOAD" xfId="7592" xr:uid="{00000000-0005-0000-0000-000048210000}"/>
    <cellStyle name="Normal 2 2 3 2 2 4" xfId="7593" xr:uid="{00000000-0005-0000-0000-000049210000}"/>
    <cellStyle name="Normal 2 2 3 2 2 4 2" xfId="49009" xr:uid="{00000000-0005-0000-0000-00004A210000}"/>
    <cellStyle name="Normal 2 2 3 2 2 5" xfId="7594" xr:uid="{00000000-0005-0000-0000-00004B210000}"/>
    <cellStyle name="Normal 2 2 3 2 2 5 2" xfId="49010" xr:uid="{00000000-0005-0000-0000-00004C210000}"/>
    <cellStyle name="Normal 2 2 3 2 2 6" xfId="7595" xr:uid="{00000000-0005-0000-0000-00004D210000}"/>
    <cellStyle name="Normal 2 2 3 2 2 6 2" xfId="49011"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6" xr:uid="{00000000-0005-0000-0000-000057210000}"/>
    <cellStyle name="Normal 2 2 3 2 3" xfId="7604" xr:uid="{00000000-0005-0000-0000-000058210000}"/>
    <cellStyle name="Normal 2 2 3 2 3 2" xfId="7605" xr:uid="{00000000-0005-0000-0000-000059210000}"/>
    <cellStyle name="Normal 2 2 3 2 3 2 2" xfId="49013" xr:uid="{00000000-0005-0000-0000-00005A210000}"/>
    <cellStyle name="Normal 2 2 3 2 3 3" xfId="7606" xr:uid="{00000000-0005-0000-0000-00005B210000}"/>
    <cellStyle name="Normal 2 2 3 2 3 3 2" xfId="49014" xr:uid="{00000000-0005-0000-0000-00005C210000}"/>
    <cellStyle name="Normal 2 2 3 2 3 4" xfId="49012" xr:uid="{00000000-0005-0000-0000-00005D210000}"/>
    <cellStyle name="Normal 2 2 3 2 3_ELEC SAP FCST UPLOAD" xfId="7607" xr:uid="{00000000-0005-0000-0000-00005E210000}"/>
    <cellStyle name="Normal 2 2 3 2 4" xfId="7608" xr:uid="{00000000-0005-0000-0000-00005F210000}"/>
    <cellStyle name="Normal 2 2 3 2 4 2" xfId="49015" xr:uid="{00000000-0005-0000-0000-000060210000}"/>
    <cellStyle name="Normal 2 2 3 2 5" xfId="7609" xr:uid="{00000000-0005-0000-0000-000061210000}"/>
    <cellStyle name="Normal 2 2 3 2 5 2" xfId="49016" xr:uid="{00000000-0005-0000-0000-000062210000}"/>
    <cellStyle name="Normal 2 2 3 2 6" xfId="7610" xr:uid="{00000000-0005-0000-0000-000063210000}"/>
    <cellStyle name="Normal 2 2 3 2 6 2" xfId="49017" xr:uid="{00000000-0005-0000-0000-000064210000}"/>
    <cellStyle name="Normal 2 2 3 2 7" xfId="7611" xr:uid="{00000000-0005-0000-0000-000065210000}"/>
    <cellStyle name="Normal 2 2 3 2 7 2" xfId="49018"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1" xr:uid="{00000000-0005-0000-0000-000077210000}"/>
    <cellStyle name="Normal 2 2 3 3 2 3" xfId="7628" xr:uid="{00000000-0005-0000-0000-000078210000}"/>
    <cellStyle name="Normal 2 2 3 3 2 3 2" xfId="49022" xr:uid="{00000000-0005-0000-0000-000079210000}"/>
    <cellStyle name="Normal 2 2 3 3 2 4" xfId="49020" xr:uid="{00000000-0005-0000-0000-00007A210000}"/>
    <cellStyle name="Normal 2 2 3 3 2_ELEC SAP FCST UPLOAD" xfId="7629" xr:uid="{00000000-0005-0000-0000-00007B210000}"/>
    <cellStyle name="Normal 2 2 3 3 3" xfId="7630" xr:uid="{00000000-0005-0000-0000-00007C210000}"/>
    <cellStyle name="Normal 2 2 3 3 3 2" xfId="49023" xr:uid="{00000000-0005-0000-0000-00007D210000}"/>
    <cellStyle name="Normal 2 2 3 3 4" xfId="7631" xr:uid="{00000000-0005-0000-0000-00007E210000}"/>
    <cellStyle name="Normal 2 2 3 3 4 2" xfId="49024" xr:uid="{00000000-0005-0000-0000-00007F210000}"/>
    <cellStyle name="Normal 2 2 3 3 5" xfId="7632" xr:uid="{00000000-0005-0000-0000-000080210000}"/>
    <cellStyle name="Normal 2 2 3 3 5 2" xfId="49025" xr:uid="{00000000-0005-0000-0000-000081210000}"/>
    <cellStyle name="Normal 2 2 3 3 6" xfId="7633" xr:uid="{00000000-0005-0000-0000-000082210000}"/>
    <cellStyle name="Normal 2 2 3 3 6 2" xfId="49026" xr:uid="{00000000-0005-0000-0000-000083210000}"/>
    <cellStyle name="Normal 2 2 3 3 7" xfId="49019"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8" xr:uid="{00000000-0005-0000-0000-000092210000}"/>
    <cellStyle name="Normal 2 2 3 4 3" xfId="7647" xr:uid="{00000000-0005-0000-0000-000093210000}"/>
    <cellStyle name="Normal 2 2 3 4 3 2" xfId="49029" xr:uid="{00000000-0005-0000-0000-000094210000}"/>
    <cellStyle name="Normal 2 2 3 4 4" xfId="49027"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30"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1"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2"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5"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6"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5" xr:uid="{00000000-0005-0000-0000-00001C220000}"/>
    <cellStyle name="Normal 2 2 4 2 2 3" xfId="7777" xr:uid="{00000000-0005-0000-0000-00001D220000}"/>
    <cellStyle name="Normal 2 2 4 2 2 3 2" xfId="49037"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4" xr:uid="{00000000-0005-0000-0000-000029220000}"/>
    <cellStyle name="Normal 2 2 4 2 3" xfId="7788" xr:uid="{00000000-0005-0000-0000-00002A220000}"/>
    <cellStyle name="Normal 2 2 4 2 3 2" xfId="49038" xr:uid="{00000000-0005-0000-0000-00002B220000}"/>
    <cellStyle name="Normal 2 2 4 2 4" xfId="7789" xr:uid="{00000000-0005-0000-0000-00002C220000}"/>
    <cellStyle name="Normal 2 2 4 2 4 2" xfId="49039" xr:uid="{00000000-0005-0000-0000-00002D220000}"/>
    <cellStyle name="Normal 2 2 4 2 5" xfId="7790" xr:uid="{00000000-0005-0000-0000-00002E220000}"/>
    <cellStyle name="Normal 2 2 4 2 5 2" xfId="49040" xr:uid="{00000000-0005-0000-0000-00002F220000}"/>
    <cellStyle name="Normal 2 2 4 2 6" xfId="7791" xr:uid="{00000000-0005-0000-0000-000030220000}"/>
    <cellStyle name="Normal 2 2 4 2 6 2" xfId="49041"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3" xr:uid="{00000000-0005-0000-0000-000042220000}"/>
    <cellStyle name="Normal 2 2 4 3 3" xfId="7808" xr:uid="{00000000-0005-0000-0000-000043220000}"/>
    <cellStyle name="Normal 2 2 4 3 3 2" xfId="49044" xr:uid="{00000000-0005-0000-0000-000044220000}"/>
    <cellStyle name="Normal 2 2 4 3 4" xfId="49042"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5"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6"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7"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3"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9"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50"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8"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1"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2"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3"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4"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5" xr:uid="{00000000-0005-0000-0000-000027250000}"/>
    <cellStyle name="Normal 2 21" xfId="8535" xr:uid="{00000000-0005-0000-0000-000028250000}"/>
    <cellStyle name="Normal 2 21 2" xfId="49056" xr:uid="{00000000-0005-0000-0000-000029250000}"/>
    <cellStyle name="Normal 2 22" xfId="8536" xr:uid="{00000000-0005-0000-0000-00002A250000}"/>
    <cellStyle name="Normal 2 22 2" xfId="49057" xr:uid="{00000000-0005-0000-0000-00002B250000}"/>
    <cellStyle name="Normal 2 23" xfId="8537" xr:uid="{00000000-0005-0000-0000-00002C250000}"/>
    <cellStyle name="Normal 2 23 2" xfId="49058" xr:uid="{00000000-0005-0000-0000-00002D250000}"/>
    <cellStyle name="Normal 2 24" xfId="8538" xr:uid="{00000000-0005-0000-0000-00002E250000}"/>
    <cellStyle name="Normal 2 24 2" xfId="49059" xr:uid="{00000000-0005-0000-0000-00002F250000}"/>
    <cellStyle name="Normal 2 25" xfId="8539" xr:uid="{00000000-0005-0000-0000-000030250000}"/>
    <cellStyle name="Normal 2 25 2" xfId="49060" xr:uid="{00000000-0005-0000-0000-000031250000}"/>
    <cellStyle name="Normal 2 26" xfId="8540" xr:uid="{00000000-0005-0000-0000-000032250000}"/>
    <cellStyle name="Normal 2 26 2" xfId="49061" xr:uid="{00000000-0005-0000-0000-000033250000}"/>
    <cellStyle name="Normal 2 27" xfId="8541" xr:uid="{00000000-0005-0000-0000-000034250000}"/>
    <cellStyle name="Normal 2 27 2" xfId="49062"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8"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7" xr:uid="{00000000-0005-0000-0000-000082250000}"/>
    <cellStyle name="Normal 2 3 2 2 2 2 3" xfId="8617" xr:uid="{00000000-0005-0000-0000-000083250000}"/>
    <cellStyle name="Normal 2 3 2 2 2 2 3 2" xfId="49069"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6" xr:uid="{00000000-0005-0000-0000-00008F250000}"/>
    <cellStyle name="Normal 2 3 2 2 2 3" xfId="8628" xr:uid="{00000000-0005-0000-0000-000090250000}"/>
    <cellStyle name="Normal 2 3 2 2 2 3 2" xfId="49070" xr:uid="{00000000-0005-0000-0000-000091250000}"/>
    <cellStyle name="Normal 2 3 2 2 2 4" xfId="8629" xr:uid="{00000000-0005-0000-0000-000092250000}"/>
    <cellStyle name="Normal 2 3 2 2 2 4 2" xfId="49071" xr:uid="{00000000-0005-0000-0000-000093250000}"/>
    <cellStyle name="Normal 2 3 2 2 2 5" xfId="8630" xr:uid="{00000000-0005-0000-0000-000094250000}"/>
    <cellStyle name="Normal 2 3 2 2 2 5 2" xfId="49072" xr:uid="{00000000-0005-0000-0000-000095250000}"/>
    <cellStyle name="Normal 2 3 2 2 2 6" xfId="8631" xr:uid="{00000000-0005-0000-0000-000096250000}"/>
    <cellStyle name="Normal 2 3 2 2 2 6 2" xfId="49073"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5" xr:uid="{00000000-0005-0000-0000-0000A8250000}"/>
    <cellStyle name="Normal 2 3 2 2 3 3" xfId="8648" xr:uid="{00000000-0005-0000-0000-0000A9250000}"/>
    <cellStyle name="Normal 2 3 2 2 3 3 2" xfId="49076" xr:uid="{00000000-0005-0000-0000-0000AA250000}"/>
    <cellStyle name="Normal 2 3 2 2 3 4" xfId="49074"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7"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8"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9"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5"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1"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80" xr:uid="{00000000-0005-0000-0000-000026260000}"/>
    <cellStyle name="Normal 2 3 2 3 3" xfId="8766" xr:uid="{00000000-0005-0000-0000-000027260000}"/>
    <cellStyle name="Normal 2 3 2 3 3 2" xfId="49082"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3"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4"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5"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6"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4"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9"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8" xr:uid="{00000000-0005-0000-0000-0000B6260000}"/>
    <cellStyle name="Normal 2 3 3 2 3" xfId="8902" xr:uid="{00000000-0005-0000-0000-0000B7260000}"/>
    <cellStyle name="Normal 2 3 3 2 3 2" xfId="49090"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1"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2"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3"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4"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7"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6"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7"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5"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8"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9"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100"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3"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1"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5"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6"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4"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7"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8"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9"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10"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3"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2"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3"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1"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4"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5"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6"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2"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7"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8"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9"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20"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1"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2"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3"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6"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8"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4"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7"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1"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4"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1"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6"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7"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6" xr:uid="{00000000-0005-0000-0000-0000D4330000}"/>
    <cellStyle name="Normal 3 10 3" xfId="12212" xr:uid="{00000000-0005-0000-0000-0000D5330000}"/>
    <cellStyle name="Normal 3 10 3 2" xfId="49128" xr:uid="{00000000-0005-0000-0000-0000D6330000}"/>
    <cellStyle name="Normal 3 10 4" xfId="12213" xr:uid="{00000000-0005-0000-0000-0000D7330000}"/>
    <cellStyle name="Normal 3 10 4 2" xfId="49129" xr:uid="{00000000-0005-0000-0000-0000D8330000}"/>
    <cellStyle name="Normal 3 10 5" xfId="12214" xr:uid="{00000000-0005-0000-0000-0000D9330000}"/>
    <cellStyle name="Normal 3 10 5 2" xfId="49130" xr:uid="{00000000-0005-0000-0000-0000DA330000}"/>
    <cellStyle name="Normal 3 10 6" xfId="12215" xr:uid="{00000000-0005-0000-0000-0000DB330000}"/>
    <cellStyle name="Normal 3 10 6 2" xfId="49131" xr:uid="{00000000-0005-0000-0000-0000DC330000}"/>
    <cellStyle name="Normal 3 10 7" xfId="12216" xr:uid="{00000000-0005-0000-0000-0000DD330000}"/>
    <cellStyle name="Normal 3 10 7 2" xfId="49132"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3"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4"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5" xr:uid="{00000000-0005-0000-0000-000006340000}"/>
    <cellStyle name="Normal 3 14" xfId="12253" xr:uid="{00000000-0005-0000-0000-000007340000}"/>
    <cellStyle name="Normal 3 14 2" xfId="49136" xr:uid="{00000000-0005-0000-0000-000008340000}"/>
    <cellStyle name="Normal 3 15" xfId="12254" xr:uid="{00000000-0005-0000-0000-000009340000}"/>
    <cellStyle name="Normal 3 15 2" xfId="49137" xr:uid="{00000000-0005-0000-0000-00000A340000}"/>
    <cellStyle name="Normal 3 16" xfId="12255" xr:uid="{00000000-0005-0000-0000-00000B340000}"/>
    <cellStyle name="Normal 3 16 2" xfId="49138" xr:uid="{00000000-0005-0000-0000-00000C340000}"/>
    <cellStyle name="Normal 3 17" xfId="12256" xr:uid="{00000000-0005-0000-0000-00000D340000}"/>
    <cellStyle name="Normal 3 17 2" xfId="49139" xr:uid="{00000000-0005-0000-0000-00000E340000}"/>
    <cellStyle name="Normal 3 18" xfId="12257" xr:uid="{00000000-0005-0000-0000-00000F340000}"/>
    <cellStyle name="Normal 3 18 2" xfId="49140" xr:uid="{00000000-0005-0000-0000-000010340000}"/>
    <cellStyle name="Normal 3 19" xfId="12258" xr:uid="{00000000-0005-0000-0000-000011340000}"/>
    <cellStyle name="Normal 3 19 2" xfId="49141" xr:uid="{00000000-0005-0000-0000-000012340000}"/>
    <cellStyle name="Normal 3 2" xfId="89" xr:uid="{00000000-0005-0000-0000-000013340000}"/>
    <cellStyle name="Normal 3 2 10" xfId="12259" xr:uid="{00000000-0005-0000-0000-000014340000}"/>
    <cellStyle name="Normal 3 2 10 2" xfId="49143" xr:uid="{00000000-0005-0000-0000-000015340000}"/>
    <cellStyle name="Normal 3 2 11" xfId="12260" xr:uid="{00000000-0005-0000-0000-000016340000}"/>
    <cellStyle name="Normal 3 2 11 2" xfId="49144" xr:uid="{00000000-0005-0000-0000-000017340000}"/>
    <cellStyle name="Normal 3 2 12" xfId="12261" xr:uid="{00000000-0005-0000-0000-000018340000}"/>
    <cellStyle name="Normal 3 2 12 2" xfId="49145" xr:uid="{00000000-0005-0000-0000-000019340000}"/>
    <cellStyle name="Normal 3 2 13" xfId="12262" xr:uid="{00000000-0005-0000-0000-00001A340000}"/>
    <cellStyle name="Normal 3 2 13 2" xfId="49146" xr:uid="{00000000-0005-0000-0000-00001B340000}"/>
    <cellStyle name="Normal 3 2 14" xfId="12263" xr:uid="{00000000-0005-0000-0000-00001C340000}"/>
    <cellStyle name="Normal 3 2 14 2" xfId="49147" xr:uid="{00000000-0005-0000-0000-00001D340000}"/>
    <cellStyle name="Normal 3 2 15" xfId="12264" xr:uid="{00000000-0005-0000-0000-00001E340000}"/>
    <cellStyle name="Normal 3 2 15 2" xfId="49148" xr:uid="{00000000-0005-0000-0000-00001F340000}"/>
    <cellStyle name="Normal 3 2 16" xfId="12265" xr:uid="{00000000-0005-0000-0000-000020340000}"/>
    <cellStyle name="Normal 3 2 16 2" xfId="49149"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1" xr:uid="{00000000-0005-0000-0000-000031340000}"/>
    <cellStyle name="Normal 3 2 2 3" xfId="49152" xr:uid="{00000000-0005-0000-0000-000032340000}"/>
    <cellStyle name="Normal 3 2 2 4" xfId="49153" xr:uid="{00000000-0005-0000-0000-000033340000}"/>
    <cellStyle name="Normal 3 2 2 5" xfId="49154" xr:uid="{00000000-0005-0000-0000-000034340000}"/>
    <cellStyle name="Normal 3 2 2 6" xfId="49155" xr:uid="{00000000-0005-0000-0000-000035340000}"/>
    <cellStyle name="Normal 3 2 2 7" xfId="49156" xr:uid="{00000000-0005-0000-0000-000036340000}"/>
    <cellStyle name="Normal 3 2 2 8" xfId="49150"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7"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8"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9"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60"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1"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2" xr:uid="{00000000-0005-0000-0000-00009D340000}"/>
    <cellStyle name="Normal 3 2 8" xfId="12377" xr:uid="{00000000-0005-0000-0000-00009E340000}"/>
    <cellStyle name="Normal 3 2 8 2" xfId="49162" xr:uid="{00000000-0005-0000-0000-00009F340000}"/>
    <cellStyle name="Normal 3 2 9" xfId="12378" xr:uid="{00000000-0005-0000-0000-0000A0340000}"/>
    <cellStyle name="Normal 3 2 9 2" xfId="49163" xr:uid="{00000000-0005-0000-0000-0000A1340000}"/>
    <cellStyle name="Normal 3 2_3.1.2 DB Pension Detail" xfId="12379" xr:uid="{00000000-0005-0000-0000-0000A2340000}"/>
    <cellStyle name="Normal 3 20" xfId="12380" xr:uid="{00000000-0005-0000-0000-0000A3340000}"/>
    <cellStyle name="Normal 3 20 2" xfId="49164"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6"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5"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7"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8"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9"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70"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1"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2"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5"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8"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7" xr:uid="{00000000-0005-0000-0000-0000193E0000}"/>
    <cellStyle name="Normal 4 2 2 2 2 3" xfId="14789" xr:uid="{00000000-0005-0000-0000-00001A3E0000}"/>
    <cellStyle name="Normal 4 2 2 2 2 3 2" xfId="49179"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6" xr:uid="{00000000-0005-0000-0000-0000263E0000}"/>
    <cellStyle name="Normal 4 2 2 2 3" xfId="14800" xr:uid="{00000000-0005-0000-0000-0000273E0000}"/>
    <cellStyle name="Normal 4 2 2 2 3 2" xfId="49180" xr:uid="{00000000-0005-0000-0000-0000283E0000}"/>
    <cellStyle name="Normal 4 2 2 2 4" xfId="14801" xr:uid="{00000000-0005-0000-0000-0000293E0000}"/>
    <cellStyle name="Normal 4 2 2 2 4 2" xfId="49181" xr:uid="{00000000-0005-0000-0000-00002A3E0000}"/>
    <cellStyle name="Normal 4 2 2 2 5" xfId="14802" xr:uid="{00000000-0005-0000-0000-00002B3E0000}"/>
    <cellStyle name="Normal 4 2 2 2 5 2" xfId="49182" xr:uid="{00000000-0005-0000-0000-00002C3E0000}"/>
    <cellStyle name="Normal 4 2 2 2 6" xfId="14803" xr:uid="{00000000-0005-0000-0000-00002D3E0000}"/>
    <cellStyle name="Normal 4 2 2 2 6 2" xfId="49183"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5" xr:uid="{00000000-0005-0000-0000-0000363E0000}"/>
    <cellStyle name="Normal 4 2 2 3" xfId="14811" xr:uid="{00000000-0005-0000-0000-0000373E0000}"/>
    <cellStyle name="Normal 4 2 2 3 2" xfId="14812" xr:uid="{00000000-0005-0000-0000-0000383E0000}"/>
    <cellStyle name="Normal 4 2 2 3 2 2" xfId="49185" xr:uid="{00000000-0005-0000-0000-0000393E0000}"/>
    <cellStyle name="Normal 4 2 2 3 3" xfId="14813" xr:uid="{00000000-0005-0000-0000-00003A3E0000}"/>
    <cellStyle name="Normal 4 2 2 3 3 2" xfId="49186" xr:uid="{00000000-0005-0000-0000-00003B3E0000}"/>
    <cellStyle name="Normal 4 2 2 3 4" xfId="49184" xr:uid="{00000000-0005-0000-0000-00003C3E0000}"/>
    <cellStyle name="Normal 4 2 2 3_ELEC SAP FCST UPLOAD" xfId="14814" xr:uid="{00000000-0005-0000-0000-00003D3E0000}"/>
    <cellStyle name="Normal 4 2 2 4" xfId="14815" xr:uid="{00000000-0005-0000-0000-00003E3E0000}"/>
    <cellStyle name="Normal 4 2 2 4 2" xfId="49187" xr:uid="{00000000-0005-0000-0000-00003F3E0000}"/>
    <cellStyle name="Normal 4 2 2 5" xfId="14816" xr:uid="{00000000-0005-0000-0000-0000403E0000}"/>
    <cellStyle name="Normal 4 2 2 5 2" xfId="49188" xr:uid="{00000000-0005-0000-0000-0000413E0000}"/>
    <cellStyle name="Normal 4 2 2 6" xfId="14817" xr:uid="{00000000-0005-0000-0000-0000423E0000}"/>
    <cellStyle name="Normal 4 2 2 6 2" xfId="49189"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4" xr:uid="{00000000-0005-0000-0000-00004C3E0000}"/>
    <cellStyle name="Normal 4 2 3" xfId="99" xr:uid="{00000000-0005-0000-0000-00004D3E0000}"/>
    <cellStyle name="Normal 4 2 3 2" xfId="14826" xr:uid="{00000000-0005-0000-0000-00004E3E0000}"/>
    <cellStyle name="Normal 4 2 3 2 2" xfId="49191" xr:uid="{00000000-0005-0000-0000-00004F3E0000}"/>
    <cellStyle name="Normal 4 2 3 3" xfId="14827" xr:uid="{00000000-0005-0000-0000-0000503E0000}"/>
    <cellStyle name="Normal 4 2 3 3 2" xfId="49192" xr:uid="{00000000-0005-0000-0000-0000513E0000}"/>
    <cellStyle name="Normal 4 2 3 4" xfId="49190" xr:uid="{00000000-0005-0000-0000-0000523E0000}"/>
    <cellStyle name="Normal 4 2 3_ELEC SAP FCST UPLOAD" xfId="14828" xr:uid="{00000000-0005-0000-0000-0000533E0000}"/>
    <cellStyle name="Normal 4 2 4" xfId="14829" xr:uid="{00000000-0005-0000-0000-0000543E0000}"/>
    <cellStyle name="Normal 4 2 4 2" xfId="49193" xr:uid="{00000000-0005-0000-0000-0000553E0000}"/>
    <cellStyle name="Normal 4 2 5" xfId="14830" xr:uid="{00000000-0005-0000-0000-0000563E0000}"/>
    <cellStyle name="Normal 4 2 5 2" xfId="49194" xr:uid="{00000000-0005-0000-0000-0000573E0000}"/>
    <cellStyle name="Normal 4 2 6" xfId="14831" xr:uid="{00000000-0005-0000-0000-0000583E0000}"/>
    <cellStyle name="Normal 4 2 6 2" xfId="49195" xr:uid="{00000000-0005-0000-0000-0000593E0000}"/>
    <cellStyle name="Normal 4 2 7" xfId="14832" xr:uid="{00000000-0005-0000-0000-00005A3E0000}"/>
    <cellStyle name="Normal 4 2 7 2" xfId="49196"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9" xr:uid="{00000000-0005-0000-0000-00006C3E0000}"/>
    <cellStyle name="Normal 4 3 2 3" xfId="14849" xr:uid="{00000000-0005-0000-0000-00006D3E0000}"/>
    <cellStyle name="Normal 4 3 2 3 2" xfId="49200" xr:uid="{00000000-0005-0000-0000-00006E3E0000}"/>
    <cellStyle name="Normal 4 3 2 4" xfId="49198" xr:uid="{00000000-0005-0000-0000-00006F3E0000}"/>
    <cellStyle name="Normal 4 3 2_ELEC SAP FCST UPLOAD" xfId="14850" xr:uid="{00000000-0005-0000-0000-0000703E0000}"/>
    <cellStyle name="Normal 4 3 3" xfId="14851" xr:uid="{00000000-0005-0000-0000-0000713E0000}"/>
    <cellStyle name="Normal 4 3 3 2" xfId="49201" xr:uid="{00000000-0005-0000-0000-0000723E0000}"/>
    <cellStyle name="Normal 4 3 4" xfId="14852" xr:uid="{00000000-0005-0000-0000-0000733E0000}"/>
    <cellStyle name="Normal 4 3 4 2" xfId="49202" xr:uid="{00000000-0005-0000-0000-0000743E0000}"/>
    <cellStyle name="Normal 4 3 5" xfId="14853" xr:uid="{00000000-0005-0000-0000-0000753E0000}"/>
    <cellStyle name="Normal 4 3 5 2" xfId="49203" xr:uid="{00000000-0005-0000-0000-0000763E0000}"/>
    <cellStyle name="Normal 4 3 6" xfId="14854" xr:uid="{00000000-0005-0000-0000-0000773E0000}"/>
    <cellStyle name="Normal 4 3 6 2" xfId="49204" xr:uid="{00000000-0005-0000-0000-0000783E0000}"/>
    <cellStyle name="Normal 4 3 7" xfId="49197"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5"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6"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7"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3"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1"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10" xr:uid="{00000000-0005-0000-0000-00006D430000}"/>
    <cellStyle name="Normal 5 2 2 3" xfId="16117" xr:uid="{00000000-0005-0000-0000-00006E430000}"/>
    <cellStyle name="Normal 5 2 2 3 2" xfId="49212"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9" xr:uid="{00000000-0005-0000-0000-00007A430000}"/>
    <cellStyle name="Normal 5 2 3" xfId="16128" xr:uid="{00000000-0005-0000-0000-00007B430000}"/>
    <cellStyle name="Normal 5 2 3 2" xfId="49213" xr:uid="{00000000-0005-0000-0000-00007C430000}"/>
    <cellStyle name="Normal 5 2 4" xfId="16129" xr:uid="{00000000-0005-0000-0000-00007D430000}"/>
    <cellStyle name="Normal 5 2 4 2" xfId="49214" xr:uid="{00000000-0005-0000-0000-00007E430000}"/>
    <cellStyle name="Normal 5 2 5" xfId="16130" xr:uid="{00000000-0005-0000-0000-00007F430000}"/>
    <cellStyle name="Normal 5 2 5 2" xfId="49215" xr:uid="{00000000-0005-0000-0000-000080430000}"/>
    <cellStyle name="Normal 5 2 6" xfId="16131" xr:uid="{00000000-0005-0000-0000-000081430000}"/>
    <cellStyle name="Normal 5 2 6 2" xfId="49216"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7"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8"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9"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8"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20"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1"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1"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40" xr:uid="{00000000-0005-0000-0000-000006470000}"/>
    <cellStyle name="Normal 71" xfId="51689" xr:uid="{D88C049C-0ABF-4963-A188-FC0A6DC5C5F8}"/>
    <cellStyle name="Normal 72" xfId="51691" xr:uid="{78AE7F22-65C0-4960-860E-692289CD99BD}"/>
    <cellStyle name="Normal 73" xfId="51693" xr:uid="{6DF7956B-B673-4C54-8158-D8A9E57FE5A2}"/>
    <cellStyle name="Normal 73 2" xfId="51695"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2"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3"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4"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5" xr:uid="{00000000-0005-0000-0000-0000574B0000}"/>
    <cellStyle name="Normal_amended tax tables 2" xfId="48235" xr:uid="{00000000-0005-0000-0000-0000584B0000}"/>
    <cellStyle name="Normál_Cost_Baseline v1.1" xfId="18122" xr:uid="{00000000-0005-0000-0000-0000594B0000}"/>
    <cellStyle name="Normal_Financial tables_NG" xfId="48237"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90" xr:uid="{00000000-0005-0000-0000-0000754B0000}"/>
    <cellStyle name="Note 2 2 2 3" xfId="18147" xr:uid="{00000000-0005-0000-0000-0000764B0000}"/>
    <cellStyle name="Note 2 2 2 3 2" xfId="18148" xr:uid="{00000000-0005-0000-0000-0000774B0000}"/>
    <cellStyle name="Note 2 2 2 3 3" xfId="51397"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6"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9" xr:uid="{00000000-0005-0000-0000-0000834B0000}"/>
    <cellStyle name="Note 2 2 4" xfId="18158" xr:uid="{00000000-0005-0000-0000-0000844B0000}"/>
    <cellStyle name="Note 2 2 4 2" xfId="18159" xr:uid="{00000000-0005-0000-0000-0000854B0000}"/>
    <cellStyle name="Note 2 2 4 3" xfId="51495"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8"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8" xr:uid="{00000000-0005-0000-0000-00009B4B0000}"/>
    <cellStyle name="Note 2 3 2 3" xfId="51164" xr:uid="{00000000-0005-0000-0000-00009C4B0000}"/>
    <cellStyle name="Note 2 3 2 4" xfId="49797" xr:uid="{00000000-0005-0000-0000-00009D4B0000}"/>
    <cellStyle name="Note 2 3 3" xfId="18179" xr:uid="{00000000-0005-0000-0000-00009E4B0000}"/>
    <cellStyle name="Note 2 3 3 2" xfId="50577" xr:uid="{00000000-0005-0000-0000-00009F4B0000}"/>
    <cellStyle name="Note 2 3 4" xfId="51482" xr:uid="{00000000-0005-0000-0000-0000A04B0000}"/>
    <cellStyle name="Note 2 3 5" xfId="49469"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9" xr:uid="{00000000-0005-0000-0000-0000AF4B0000}"/>
    <cellStyle name="Note 2 4 2 3" xfId="51386" xr:uid="{00000000-0005-0000-0000-0000B04B0000}"/>
    <cellStyle name="Note 2 4 2 4" xfId="49807" xr:uid="{00000000-0005-0000-0000-0000B14B0000}"/>
    <cellStyle name="Note 2 4 3" xfId="18193" xr:uid="{00000000-0005-0000-0000-0000B24B0000}"/>
    <cellStyle name="Note 2 4 3 2" xfId="50568" xr:uid="{00000000-0005-0000-0000-0000B34B0000}"/>
    <cellStyle name="Note 2 4 4" xfId="50949" xr:uid="{00000000-0005-0000-0000-0000B44B0000}"/>
    <cellStyle name="Note 2 4 5" xfId="49479"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8" xr:uid="{00000000-0005-0000-0000-0000C34B0000}"/>
    <cellStyle name="Note 2 5 3" xfId="18207" xr:uid="{00000000-0005-0000-0000-0000C44B0000}"/>
    <cellStyle name="Note 2 5 3 2" xfId="50657" xr:uid="{00000000-0005-0000-0000-0000C54B0000}"/>
    <cellStyle name="Note 2 5 4" xfId="49638"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8" xr:uid="{00000000-0005-0000-0000-0000D34B0000}"/>
    <cellStyle name="Note 2 6 3" xfId="51335" xr:uid="{00000000-0005-0000-0000-0000D44B0000}"/>
    <cellStyle name="Note 2 6 4" xfId="50043"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2"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5"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7"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6" xr:uid="{00000000-0005-0000-0000-0000024C0000}"/>
    <cellStyle name="Note 3" xfId="18261" xr:uid="{00000000-0005-0000-0000-0000034C0000}"/>
    <cellStyle name="Note 3 10" xfId="49468" xr:uid="{00000000-0005-0000-0000-0000044C0000}"/>
    <cellStyle name="Note 3 10 2" xfId="49796" xr:uid="{00000000-0005-0000-0000-0000054C0000}"/>
    <cellStyle name="Note 3 10 2 2" xfId="50209" xr:uid="{00000000-0005-0000-0000-0000064C0000}"/>
    <cellStyle name="Note 3 10 2 3" xfId="51534" xr:uid="{00000000-0005-0000-0000-0000074C0000}"/>
    <cellStyle name="Note 3 10 3" xfId="50578" xr:uid="{00000000-0005-0000-0000-0000084C0000}"/>
    <cellStyle name="Note 3 10 4" xfId="51226" xr:uid="{00000000-0005-0000-0000-0000094C0000}"/>
    <cellStyle name="Note 3 11" xfId="49480" xr:uid="{00000000-0005-0000-0000-00000A4C0000}"/>
    <cellStyle name="Note 3 11 2" xfId="49808" xr:uid="{00000000-0005-0000-0000-00000B4C0000}"/>
    <cellStyle name="Note 3 11 2 2" xfId="50198" xr:uid="{00000000-0005-0000-0000-00000C4C0000}"/>
    <cellStyle name="Note 3 11 2 3" xfId="51625" xr:uid="{00000000-0005-0000-0000-00000D4C0000}"/>
    <cellStyle name="Note 3 11 3" xfId="50567" xr:uid="{00000000-0005-0000-0000-00000E4C0000}"/>
    <cellStyle name="Note 3 11 4" xfId="51237" xr:uid="{00000000-0005-0000-0000-00000F4C0000}"/>
    <cellStyle name="Note 3 12" xfId="49639" xr:uid="{00000000-0005-0000-0000-0000104C0000}"/>
    <cellStyle name="Note 3 12 2" xfId="50991" xr:uid="{00000000-0005-0000-0000-0000114C0000}"/>
    <cellStyle name="Note 3 12 3" xfId="50653" xr:uid="{00000000-0005-0000-0000-0000124C0000}"/>
    <cellStyle name="Note 3 13" xfId="50042" xr:uid="{00000000-0005-0000-0000-0000134C0000}"/>
    <cellStyle name="Note 3 13 2" xfId="51087" xr:uid="{00000000-0005-0000-0000-0000144C0000}"/>
    <cellStyle name="Note 3 13 3" xfId="51567" xr:uid="{00000000-0005-0000-0000-0000154C0000}"/>
    <cellStyle name="Note 3 14" xfId="50761" xr:uid="{00000000-0005-0000-0000-0000164C0000}"/>
    <cellStyle name="Note 3 15" xfId="50956" xr:uid="{00000000-0005-0000-0000-0000174C0000}"/>
    <cellStyle name="Note 3 16" xfId="51143" xr:uid="{00000000-0005-0000-0000-0000184C0000}"/>
    <cellStyle name="Note 3 17" xfId="49227" xr:uid="{00000000-0005-0000-0000-0000194C0000}"/>
    <cellStyle name="Note 3 2" xfId="18262" xr:uid="{00000000-0005-0000-0000-00001A4C0000}"/>
    <cellStyle name="Note 3 2 10" xfId="49228" xr:uid="{00000000-0005-0000-0000-00001B4C0000}"/>
    <cellStyle name="Note 3 2 2" xfId="18263" xr:uid="{00000000-0005-0000-0000-00001C4C0000}"/>
    <cellStyle name="Note 3 2 2 2" xfId="49818" xr:uid="{00000000-0005-0000-0000-00001D4C0000}"/>
    <cellStyle name="Note 3 2 2 2 2" xfId="50189" xr:uid="{00000000-0005-0000-0000-00001E4C0000}"/>
    <cellStyle name="Note 3 2 2 2 3" xfId="51277" xr:uid="{00000000-0005-0000-0000-00001F4C0000}"/>
    <cellStyle name="Note 3 2 2 3" xfId="50557" xr:uid="{00000000-0005-0000-0000-0000204C0000}"/>
    <cellStyle name="Note 3 2 2 4" xfId="51458" xr:uid="{00000000-0005-0000-0000-0000214C0000}"/>
    <cellStyle name="Note 3 2 2 5" xfId="49490" xr:uid="{00000000-0005-0000-0000-0000224C0000}"/>
    <cellStyle name="Note 3 2 3" xfId="49467" xr:uid="{00000000-0005-0000-0000-0000234C0000}"/>
    <cellStyle name="Note 3 2 3 2" xfId="49795" xr:uid="{00000000-0005-0000-0000-0000244C0000}"/>
    <cellStyle name="Note 3 2 3 2 2" xfId="50210" xr:uid="{00000000-0005-0000-0000-0000254C0000}"/>
    <cellStyle name="Note 3 2 3 2 3" xfId="51276" xr:uid="{00000000-0005-0000-0000-0000264C0000}"/>
    <cellStyle name="Note 3 2 3 3" xfId="50579" xr:uid="{00000000-0005-0000-0000-0000274C0000}"/>
    <cellStyle name="Note 3 2 3 4" xfId="51461" xr:uid="{00000000-0005-0000-0000-0000284C0000}"/>
    <cellStyle name="Note 3 2 4" xfId="49481" xr:uid="{00000000-0005-0000-0000-0000294C0000}"/>
    <cellStyle name="Note 3 2 4 2" xfId="49809" xr:uid="{00000000-0005-0000-0000-00002A4C0000}"/>
    <cellStyle name="Note 3 2 4 2 2" xfId="50197" xr:uid="{00000000-0005-0000-0000-00002B4C0000}"/>
    <cellStyle name="Note 3 2 4 2 3" xfId="51140" xr:uid="{00000000-0005-0000-0000-00002C4C0000}"/>
    <cellStyle name="Note 3 2 4 3" xfId="50566" xr:uid="{00000000-0005-0000-0000-00002D4C0000}"/>
    <cellStyle name="Note 3 2 4 4" xfId="51494" xr:uid="{00000000-0005-0000-0000-00002E4C0000}"/>
    <cellStyle name="Note 3 2 5" xfId="49640" xr:uid="{00000000-0005-0000-0000-00002F4C0000}"/>
    <cellStyle name="Note 3 2 5 2" xfId="50904" xr:uid="{00000000-0005-0000-0000-0000304C0000}"/>
    <cellStyle name="Note 3 2 5 3" xfId="50654" xr:uid="{00000000-0005-0000-0000-0000314C0000}"/>
    <cellStyle name="Note 3 2 6" xfId="50041" xr:uid="{00000000-0005-0000-0000-0000324C0000}"/>
    <cellStyle name="Note 3 2 6 2" xfId="51086" xr:uid="{00000000-0005-0000-0000-0000334C0000}"/>
    <cellStyle name="Note 3 2 6 3" xfId="51310" xr:uid="{00000000-0005-0000-0000-0000344C0000}"/>
    <cellStyle name="Note 3 2 7" xfId="50760" xr:uid="{00000000-0005-0000-0000-0000354C0000}"/>
    <cellStyle name="Note 3 2 8" xfId="50908" xr:uid="{00000000-0005-0000-0000-0000364C0000}"/>
    <cellStyle name="Note 3 2 9" xfId="50776" xr:uid="{00000000-0005-0000-0000-0000374C0000}"/>
    <cellStyle name="Note 3 3" xfId="18264" xr:uid="{00000000-0005-0000-0000-0000384C0000}"/>
    <cellStyle name="Note 3 3 10" xfId="49229" xr:uid="{00000000-0005-0000-0000-0000394C0000}"/>
    <cellStyle name="Note 3 3 2" xfId="18265" xr:uid="{00000000-0005-0000-0000-00003A4C0000}"/>
    <cellStyle name="Note 3 3 2 2" xfId="49819" xr:uid="{00000000-0005-0000-0000-00003B4C0000}"/>
    <cellStyle name="Note 3 3 2 2 2" xfId="50188" xr:uid="{00000000-0005-0000-0000-00003C4C0000}"/>
    <cellStyle name="Note 3 3 2 2 3" xfId="51535" xr:uid="{00000000-0005-0000-0000-00003D4C0000}"/>
    <cellStyle name="Note 3 3 2 3" xfId="50556" xr:uid="{00000000-0005-0000-0000-00003E4C0000}"/>
    <cellStyle name="Note 3 3 2 4" xfId="51356" xr:uid="{00000000-0005-0000-0000-00003F4C0000}"/>
    <cellStyle name="Note 3 3 2 5" xfId="49491" xr:uid="{00000000-0005-0000-0000-0000404C0000}"/>
    <cellStyle name="Note 3 3 3" xfId="49466" xr:uid="{00000000-0005-0000-0000-0000414C0000}"/>
    <cellStyle name="Note 3 3 3 2" xfId="49794" xr:uid="{00000000-0005-0000-0000-0000424C0000}"/>
    <cellStyle name="Note 3 3 3 2 2" xfId="50211" xr:uid="{00000000-0005-0000-0000-0000434C0000}"/>
    <cellStyle name="Note 3 3 3 2 3" xfId="50883" xr:uid="{00000000-0005-0000-0000-0000444C0000}"/>
    <cellStyle name="Note 3 3 3 3" xfId="50580" xr:uid="{00000000-0005-0000-0000-0000454C0000}"/>
    <cellStyle name="Note 3 3 3 4" xfId="51203" xr:uid="{00000000-0005-0000-0000-0000464C0000}"/>
    <cellStyle name="Note 3 3 4" xfId="49482" xr:uid="{00000000-0005-0000-0000-0000474C0000}"/>
    <cellStyle name="Note 3 3 4 2" xfId="49810" xr:uid="{00000000-0005-0000-0000-0000484C0000}"/>
    <cellStyle name="Note 3 3 4 2 2" xfId="50196" xr:uid="{00000000-0005-0000-0000-0000494C0000}"/>
    <cellStyle name="Note 3 3 4 2 3" xfId="50898" xr:uid="{00000000-0005-0000-0000-00004A4C0000}"/>
    <cellStyle name="Note 3 3 4 3" xfId="50565" xr:uid="{00000000-0005-0000-0000-00004B4C0000}"/>
    <cellStyle name="Note 3 3 4 4" xfId="51201" xr:uid="{00000000-0005-0000-0000-00004C4C0000}"/>
    <cellStyle name="Note 3 3 5" xfId="49641" xr:uid="{00000000-0005-0000-0000-00004D4C0000}"/>
    <cellStyle name="Note 3 3 5 2" xfId="50929" xr:uid="{00000000-0005-0000-0000-00004E4C0000}"/>
    <cellStyle name="Note 3 3 5 3" xfId="50655" xr:uid="{00000000-0005-0000-0000-00004F4C0000}"/>
    <cellStyle name="Note 3 3 6" xfId="50040" xr:uid="{00000000-0005-0000-0000-0000504C0000}"/>
    <cellStyle name="Note 3 3 6 2" xfId="51085" xr:uid="{00000000-0005-0000-0000-0000514C0000}"/>
    <cellStyle name="Note 3 3 6 3" xfId="51160" xr:uid="{00000000-0005-0000-0000-0000524C0000}"/>
    <cellStyle name="Note 3 3 7" xfId="50759" xr:uid="{00000000-0005-0000-0000-0000534C0000}"/>
    <cellStyle name="Note 3 3 8" xfId="50985" xr:uid="{00000000-0005-0000-0000-0000544C0000}"/>
    <cellStyle name="Note 3 3 9" xfId="50790" xr:uid="{00000000-0005-0000-0000-0000554C0000}"/>
    <cellStyle name="Note 3 4" xfId="18266" xr:uid="{00000000-0005-0000-0000-0000564C0000}"/>
    <cellStyle name="Note 3 4 10" xfId="49230" xr:uid="{00000000-0005-0000-0000-0000574C0000}"/>
    <cellStyle name="Note 3 4 2" xfId="49492" xr:uid="{00000000-0005-0000-0000-0000584C0000}"/>
    <cellStyle name="Note 3 4 2 2" xfId="49820" xr:uid="{00000000-0005-0000-0000-0000594C0000}"/>
    <cellStyle name="Note 3 4 2 2 2" xfId="50187" xr:uid="{00000000-0005-0000-0000-00005A4C0000}"/>
    <cellStyle name="Note 3 4 2 2 3" xfId="51163" xr:uid="{00000000-0005-0000-0000-00005B4C0000}"/>
    <cellStyle name="Note 3 4 2 3" xfId="50555" xr:uid="{00000000-0005-0000-0000-00005C4C0000}"/>
    <cellStyle name="Note 3 4 2 4" xfId="51650" xr:uid="{00000000-0005-0000-0000-00005D4C0000}"/>
    <cellStyle name="Note 3 4 3" xfId="49465" xr:uid="{00000000-0005-0000-0000-00005E4C0000}"/>
    <cellStyle name="Note 3 4 3 2" xfId="49793" xr:uid="{00000000-0005-0000-0000-00005F4C0000}"/>
    <cellStyle name="Note 3 4 3 2 2" xfId="50212" xr:uid="{00000000-0005-0000-0000-0000604C0000}"/>
    <cellStyle name="Note 3 4 3 2 3" xfId="51620" xr:uid="{00000000-0005-0000-0000-0000614C0000}"/>
    <cellStyle name="Note 3 4 3 3" xfId="50581" xr:uid="{00000000-0005-0000-0000-0000624C0000}"/>
    <cellStyle name="Note 3 4 3 4" xfId="51492" xr:uid="{00000000-0005-0000-0000-0000634C0000}"/>
    <cellStyle name="Note 3 4 4" xfId="49483" xr:uid="{00000000-0005-0000-0000-0000644C0000}"/>
    <cellStyle name="Note 3 4 4 2" xfId="49811" xr:uid="{00000000-0005-0000-0000-0000654C0000}"/>
    <cellStyle name="Note 3 4 4 2 2" xfId="50195" xr:uid="{00000000-0005-0000-0000-0000664C0000}"/>
    <cellStyle name="Note 3 4 4 2 3" xfId="50969" xr:uid="{00000000-0005-0000-0000-0000674C0000}"/>
    <cellStyle name="Note 3 4 4 3" xfId="50564" xr:uid="{00000000-0005-0000-0000-0000684C0000}"/>
    <cellStyle name="Note 3 4 4 4" xfId="51459" xr:uid="{00000000-0005-0000-0000-0000694C0000}"/>
    <cellStyle name="Note 3 4 5" xfId="49642" xr:uid="{00000000-0005-0000-0000-00006A4C0000}"/>
    <cellStyle name="Note 3 4 5 2" xfId="50863" xr:uid="{00000000-0005-0000-0000-00006B4C0000}"/>
    <cellStyle name="Note 3 4 5 3" xfId="51376" xr:uid="{00000000-0005-0000-0000-00006C4C0000}"/>
    <cellStyle name="Note 3 4 6" xfId="50039" xr:uid="{00000000-0005-0000-0000-00006D4C0000}"/>
    <cellStyle name="Note 3 4 6 2" xfId="51084" xr:uid="{00000000-0005-0000-0000-00006E4C0000}"/>
    <cellStyle name="Note 3 4 6 3" xfId="51133" xr:uid="{00000000-0005-0000-0000-00006F4C0000}"/>
    <cellStyle name="Note 3 4 7" xfId="50758" xr:uid="{00000000-0005-0000-0000-0000704C0000}"/>
    <cellStyle name="Note 3 4 8" xfId="50796" xr:uid="{00000000-0005-0000-0000-0000714C0000}"/>
    <cellStyle name="Note 3 4 9" xfId="50763" xr:uid="{00000000-0005-0000-0000-0000724C0000}"/>
    <cellStyle name="Note 3 5" xfId="49231" xr:uid="{00000000-0005-0000-0000-0000734C0000}"/>
    <cellStyle name="Note 3 5 2" xfId="49493" xr:uid="{00000000-0005-0000-0000-0000744C0000}"/>
    <cellStyle name="Note 3 5 2 2" xfId="49821" xr:uid="{00000000-0005-0000-0000-0000754C0000}"/>
    <cellStyle name="Note 3 5 2 2 2" xfId="50186" xr:uid="{00000000-0005-0000-0000-0000764C0000}"/>
    <cellStyle name="Note 3 5 2 2 3" xfId="51423" xr:uid="{00000000-0005-0000-0000-0000774C0000}"/>
    <cellStyle name="Note 3 5 2 3" xfId="50554" xr:uid="{00000000-0005-0000-0000-0000784C0000}"/>
    <cellStyle name="Note 3 5 2 4" xfId="50962" xr:uid="{00000000-0005-0000-0000-0000794C0000}"/>
    <cellStyle name="Note 3 5 3" xfId="49464" xr:uid="{00000000-0005-0000-0000-00007A4C0000}"/>
    <cellStyle name="Note 3 5 3 2" xfId="49792" xr:uid="{00000000-0005-0000-0000-00007B4C0000}"/>
    <cellStyle name="Note 3 5 3 2 2" xfId="50213" xr:uid="{00000000-0005-0000-0000-00007C4C0000}"/>
    <cellStyle name="Note 3 5 3 2 3" xfId="51394" xr:uid="{00000000-0005-0000-0000-00007D4C0000}"/>
    <cellStyle name="Note 3 5 3 3" xfId="50582" xr:uid="{00000000-0005-0000-0000-00007E4C0000}"/>
    <cellStyle name="Note 3 5 3 4" xfId="51235" xr:uid="{00000000-0005-0000-0000-00007F4C0000}"/>
    <cellStyle name="Note 3 5 4" xfId="49484" xr:uid="{00000000-0005-0000-0000-0000804C0000}"/>
    <cellStyle name="Note 3 5 4 2" xfId="49812" xr:uid="{00000000-0005-0000-0000-0000814C0000}"/>
    <cellStyle name="Note 3 5 4 2 2" xfId="50194" xr:uid="{00000000-0005-0000-0000-0000824C0000}"/>
    <cellStyle name="Note 3 5 4 2 3" xfId="51278" xr:uid="{00000000-0005-0000-0000-0000834C0000}"/>
    <cellStyle name="Note 3 5 4 3" xfId="50563" xr:uid="{00000000-0005-0000-0000-0000844C0000}"/>
    <cellStyle name="Note 3 5 4 4" xfId="51355" xr:uid="{00000000-0005-0000-0000-0000854C0000}"/>
    <cellStyle name="Note 3 5 5" xfId="49643" xr:uid="{00000000-0005-0000-0000-0000864C0000}"/>
    <cellStyle name="Note 3 5 5 2" xfId="50932" xr:uid="{00000000-0005-0000-0000-0000874C0000}"/>
    <cellStyle name="Note 3 5 5 3" xfId="50668" xr:uid="{00000000-0005-0000-0000-0000884C0000}"/>
    <cellStyle name="Note 3 5 6" xfId="50038" xr:uid="{00000000-0005-0000-0000-0000894C0000}"/>
    <cellStyle name="Note 3 5 6 2" xfId="51083" xr:uid="{00000000-0005-0000-0000-00008A4C0000}"/>
    <cellStyle name="Note 3 5 6 3" xfId="50936" xr:uid="{00000000-0005-0000-0000-00008B4C0000}"/>
    <cellStyle name="Note 3 5 7" xfId="50757" xr:uid="{00000000-0005-0000-0000-00008C4C0000}"/>
    <cellStyle name="Note 3 5 8" xfId="50871" xr:uid="{00000000-0005-0000-0000-00008D4C0000}"/>
    <cellStyle name="Note 3 5 9" xfId="50986" xr:uid="{00000000-0005-0000-0000-00008E4C0000}"/>
    <cellStyle name="Note 3 6" xfId="49232" xr:uid="{00000000-0005-0000-0000-00008F4C0000}"/>
    <cellStyle name="Note 3 6 2" xfId="49494" xr:uid="{00000000-0005-0000-0000-0000904C0000}"/>
    <cellStyle name="Note 3 6 2 2" xfId="49822" xr:uid="{00000000-0005-0000-0000-0000914C0000}"/>
    <cellStyle name="Note 3 6 2 2 2" xfId="50185" xr:uid="{00000000-0005-0000-0000-0000924C0000}"/>
    <cellStyle name="Note 3 6 2 2 3" xfId="51334" xr:uid="{00000000-0005-0000-0000-0000934C0000}"/>
    <cellStyle name="Note 3 6 2 3" xfId="50553" xr:uid="{00000000-0005-0000-0000-0000944C0000}"/>
    <cellStyle name="Note 3 6 2 4" xfId="51239" xr:uid="{00000000-0005-0000-0000-0000954C0000}"/>
    <cellStyle name="Note 3 6 3" xfId="49463" xr:uid="{00000000-0005-0000-0000-0000964C0000}"/>
    <cellStyle name="Note 3 6 3 2" xfId="49791" xr:uid="{00000000-0005-0000-0000-0000974C0000}"/>
    <cellStyle name="Note 3 6 3 2 2" xfId="50214" xr:uid="{00000000-0005-0000-0000-0000984C0000}"/>
    <cellStyle name="Note 3 6 3 2 3" xfId="51561" xr:uid="{00000000-0005-0000-0000-0000994C0000}"/>
    <cellStyle name="Note 3 6 3 3" xfId="50583" xr:uid="{00000000-0005-0000-0000-00009A4C0000}"/>
    <cellStyle name="Note 3 6 3 4" xfId="50809" xr:uid="{00000000-0005-0000-0000-00009B4C0000}"/>
    <cellStyle name="Note 3 6 4" xfId="49485" xr:uid="{00000000-0005-0000-0000-00009C4C0000}"/>
    <cellStyle name="Note 3 6 4 2" xfId="49813" xr:uid="{00000000-0005-0000-0000-00009D4C0000}"/>
    <cellStyle name="Note 3 6 4 2 2" xfId="50193" xr:uid="{00000000-0005-0000-0000-00009E4C0000}"/>
    <cellStyle name="Note 3 6 4 2 3" xfId="51536" xr:uid="{00000000-0005-0000-0000-00009F4C0000}"/>
    <cellStyle name="Note 3 6 4 3" xfId="50562" xr:uid="{00000000-0005-0000-0000-0000A04C0000}"/>
    <cellStyle name="Note 3 6 4 4" xfId="51651" xr:uid="{00000000-0005-0000-0000-0000A14C0000}"/>
    <cellStyle name="Note 3 6 5" xfId="49644" xr:uid="{00000000-0005-0000-0000-0000A24C0000}"/>
    <cellStyle name="Note 3 6 5 2" xfId="50866" xr:uid="{00000000-0005-0000-0000-0000A34C0000}"/>
    <cellStyle name="Note 3 6 5 3" xfId="51214" xr:uid="{00000000-0005-0000-0000-0000A44C0000}"/>
    <cellStyle name="Note 3 6 6" xfId="49967" xr:uid="{00000000-0005-0000-0000-0000A54C0000}"/>
    <cellStyle name="Note 3 6 6 2" xfId="51012" xr:uid="{00000000-0005-0000-0000-0000A64C0000}"/>
    <cellStyle name="Note 3 6 6 3" xfId="51551" xr:uid="{00000000-0005-0000-0000-0000A74C0000}"/>
    <cellStyle name="Note 3 6 7" xfId="50756" xr:uid="{00000000-0005-0000-0000-0000A84C0000}"/>
    <cellStyle name="Note 3 6 8" xfId="50946" xr:uid="{00000000-0005-0000-0000-0000A94C0000}"/>
    <cellStyle name="Note 3 6 9" xfId="50933" xr:uid="{00000000-0005-0000-0000-0000AA4C0000}"/>
    <cellStyle name="Note 3 7" xfId="49233" xr:uid="{00000000-0005-0000-0000-0000AB4C0000}"/>
    <cellStyle name="Note 3 7 2" xfId="49495" xr:uid="{00000000-0005-0000-0000-0000AC4C0000}"/>
    <cellStyle name="Note 3 7 2 2" xfId="49823" xr:uid="{00000000-0005-0000-0000-0000AD4C0000}"/>
    <cellStyle name="Note 3 7 2 2 2" xfId="50184" xr:uid="{00000000-0005-0000-0000-0000AE4C0000}"/>
    <cellStyle name="Note 3 7 2 2 3" xfId="51590" xr:uid="{00000000-0005-0000-0000-0000AF4C0000}"/>
    <cellStyle name="Note 3 7 2 3" xfId="50552" xr:uid="{00000000-0005-0000-0000-0000B04C0000}"/>
    <cellStyle name="Note 3 7 2 4" xfId="51496" xr:uid="{00000000-0005-0000-0000-0000B14C0000}"/>
    <cellStyle name="Note 3 7 3" xfId="49462" xr:uid="{00000000-0005-0000-0000-0000B24C0000}"/>
    <cellStyle name="Note 3 7 3 2" xfId="49790" xr:uid="{00000000-0005-0000-0000-0000B34C0000}"/>
    <cellStyle name="Note 3 7 3 2 2" xfId="50215" xr:uid="{00000000-0005-0000-0000-0000B44C0000}"/>
    <cellStyle name="Note 3 7 3 2 3" xfId="51304" xr:uid="{00000000-0005-0000-0000-0000B54C0000}"/>
    <cellStyle name="Note 3 7 3 3" xfId="50584" xr:uid="{00000000-0005-0000-0000-0000B64C0000}"/>
    <cellStyle name="Note 3 7 3 4" xfId="51653" xr:uid="{00000000-0005-0000-0000-0000B74C0000}"/>
    <cellStyle name="Note 3 7 4" xfId="49486" xr:uid="{00000000-0005-0000-0000-0000B84C0000}"/>
    <cellStyle name="Note 3 7 4 2" xfId="49814" xr:uid="{00000000-0005-0000-0000-0000B94C0000}"/>
    <cellStyle name="Note 3 7 4 2 2" xfId="50192" xr:uid="{00000000-0005-0000-0000-0000BA4C0000}"/>
    <cellStyle name="Note 3 7 4 2 3" xfId="51303" xr:uid="{00000000-0005-0000-0000-0000BB4C0000}"/>
    <cellStyle name="Note 3 7 4 3" xfId="50561" xr:uid="{00000000-0005-0000-0000-0000BC4C0000}"/>
    <cellStyle name="Note 3 7 4 4" xfId="50890" xr:uid="{00000000-0005-0000-0000-0000BD4C0000}"/>
    <cellStyle name="Note 3 7 5" xfId="49645" xr:uid="{00000000-0005-0000-0000-0000BE4C0000}"/>
    <cellStyle name="Note 3 7 5 2" xfId="50927" xr:uid="{00000000-0005-0000-0000-0000BF4C0000}"/>
    <cellStyle name="Note 3 7 5 3" xfId="50768" xr:uid="{00000000-0005-0000-0000-0000C04C0000}"/>
    <cellStyle name="Note 3 7 6" xfId="50053" xr:uid="{00000000-0005-0000-0000-0000C14C0000}"/>
    <cellStyle name="Note 3 7 6 2" xfId="51097" xr:uid="{00000000-0005-0000-0000-0000C24C0000}"/>
    <cellStyle name="Note 3 7 6 3" xfId="51604" xr:uid="{00000000-0005-0000-0000-0000C34C0000}"/>
    <cellStyle name="Note 3 7 7" xfId="50755" xr:uid="{00000000-0005-0000-0000-0000C44C0000}"/>
    <cellStyle name="Note 3 7 8" xfId="50886" xr:uid="{00000000-0005-0000-0000-0000C54C0000}"/>
    <cellStyle name="Note 3 7 9" xfId="50656" xr:uid="{00000000-0005-0000-0000-0000C64C0000}"/>
    <cellStyle name="Note 3 8" xfId="49234" xr:uid="{00000000-0005-0000-0000-0000C74C0000}"/>
    <cellStyle name="Note 3 8 2" xfId="49496" xr:uid="{00000000-0005-0000-0000-0000C84C0000}"/>
    <cellStyle name="Note 3 8 2 2" xfId="49824" xr:uid="{00000000-0005-0000-0000-0000C94C0000}"/>
    <cellStyle name="Note 3 8 2 2 2" xfId="50183" xr:uid="{00000000-0005-0000-0000-0000CA4C0000}"/>
    <cellStyle name="Note 3 8 2 2 3" xfId="51673" xr:uid="{00000000-0005-0000-0000-0000CB4C0000}"/>
    <cellStyle name="Note 3 8 2 3" xfId="50551" xr:uid="{00000000-0005-0000-0000-0000CC4C0000}"/>
    <cellStyle name="Note 3 8 2 4" xfId="51199" xr:uid="{00000000-0005-0000-0000-0000CD4C0000}"/>
    <cellStyle name="Note 3 8 3" xfId="49461" xr:uid="{00000000-0005-0000-0000-0000CE4C0000}"/>
    <cellStyle name="Note 3 8 3 2" xfId="49789" xr:uid="{00000000-0005-0000-0000-0000CF4C0000}"/>
    <cellStyle name="Note 3 8 3 2 2" xfId="50216" xr:uid="{00000000-0005-0000-0000-0000D04C0000}"/>
    <cellStyle name="Note 3 8 3 2 3" xfId="51533" xr:uid="{00000000-0005-0000-0000-0000D14C0000}"/>
    <cellStyle name="Note 3 8 3 3" xfId="50585" xr:uid="{00000000-0005-0000-0000-0000D24C0000}"/>
    <cellStyle name="Note 3 8 3 4" xfId="51352" xr:uid="{00000000-0005-0000-0000-0000D34C0000}"/>
    <cellStyle name="Note 3 8 4" xfId="49487" xr:uid="{00000000-0005-0000-0000-0000D44C0000}"/>
    <cellStyle name="Note 3 8 4 2" xfId="49815" xr:uid="{00000000-0005-0000-0000-0000D54C0000}"/>
    <cellStyle name="Note 3 8 4 2 2" xfId="50191" xr:uid="{00000000-0005-0000-0000-0000D64C0000}"/>
    <cellStyle name="Note 3 8 4 2 3" xfId="51560" xr:uid="{00000000-0005-0000-0000-0000D74C0000}"/>
    <cellStyle name="Note 3 8 4 3" xfId="50560" xr:uid="{00000000-0005-0000-0000-0000D84C0000}"/>
    <cellStyle name="Note 3 8 4 4" xfId="51238" xr:uid="{00000000-0005-0000-0000-0000D94C0000}"/>
    <cellStyle name="Note 3 8 5" xfId="49646" xr:uid="{00000000-0005-0000-0000-0000DA4C0000}"/>
    <cellStyle name="Note 3 8 5 2" xfId="50862" xr:uid="{00000000-0005-0000-0000-0000DB4C0000}"/>
    <cellStyle name="Note 3 8 5 3" xfId="50786" xr:uid="{00000000-0005-0000-0000-0000DC4C0000}"/>
    <cellStyle name="Note 3 8 6" xfId="50037" xr:uid="{00000000-0005-0000-0000-0000DD4C0000}"/>
    <cellStyle name="Note 3 8 6 2" xfId="51082" xr:uid="{00000000-0005-0000-0000-0000DE4C0000}"/>
    <cellStyle name="Note 3 8 6 3" xfId="51132" xr:uid="{00000000-0005-0000-0000-0000DF4C0000}"/>
    <cellStyle name="Note 3 8 7" xfId="50754" xr:uid="{00000000-0005-0000-0000-0000E04C0000}"/>
    <cellStyle name="Note 3 8 8" xfId="50957" xr:uid="{00000000-0005-0000-0000-0000E14C0000}"/>
    <cellStyle name="Note 3 8 9" xfId="50765" xr:uid="{00000000-0005-0000-0000-0000E24C0000}"/>
    <cellStyle name="Note 3 9" xfId="49489" xr:uid="{00000000-0005-0000-0000-0000E34C0000}"/>
    <cellStyle name="Note 3 9 2" xfId="49817" xr:uid="{00000000-0005-0000-0000-0000E44C0000}"/>
    <cellStyle name="Note 3 9 2 2" xfId="50070" xr:uid="{00000000-0005-0000-0000-0000E54C0000}"/>
    <cellStyle name="Note 3 9 2 3" xfId="51670" xr:uid="{00000000-0005-0000-0000-0000E64C0000}"/>
    <cellStyle name="Note 3 9 3" xfId="50558" xr:uid="{00000000-0005-0000-0000-0000E74C0000}"/>
    <cellStyle name="Note 3 9 4" xfId="51200"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2" xr:uid="{00000000-0005-0000-0000-0000254D0000}"/>
    <cellStyle name="Output 2 2 2 3" xfId="18327" xr:uid="{00000000-0005-0000-0000-0000264D0000}"/>
    <cellStyle name="Output 2 2 2 3 2" xfId="18328" xr:uid="{00000000-0005-0000-0000-0000274D0000}"/>
    <cellStyle name="Output 2 2 2 3 3" xfId="51340"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5"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50" xr:uid="{00000000-0005-0000-0000-0000334D0000}"/>
    <cellStyle name="Output 2 2 4" xfId="18338" xr:uid="{00000000-0005-0000-0000-0000344D0000}"/>
    <cellStyle name="Output 2 2 4 2" xfId="18339" xr:uid="{00000000-0005-0000-0000-0000354D0000}"/>
    <cellStyle name="Output 2 2 4 3" xfId="51457"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7"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7" xr:uid="{00000000-0005-0000-0000-00004B4D0000}"/>
    <cellStyle name="Output 2 3 2 3" xfId="51275" xr:uid="{00000000-0005-0000-0000-00004C4D0000}"/>
    <cellStyle name="Output 2 3 2 4" xfId="49788" xr:uid="{00000000-0005-0000-0000-00004D4D0000}"/>
    <cellStyle name="Output 2 3 3" xfId="18359" xr:uid="{00000000-0005-0000-0000-00004E4D0000}"/>
    <cellStyle name="Output 2 3 3 2" xfId="50586" xr:uid="{00000000-0005-0000-0000-00004F4D0000}"/>
    <cellStyle name="Output 2 3 4" xfId="51481" xr:uid="{00000000-0005-0000-0000-0000504D0000}"/>
    <cellStyle name="Output 2 3 5" xfId="49460"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7" xr:uid="{00000000-0005-0000-0000-0000624D0000}"/>
    <cellStyle name="Output 2 4 3" xfId="18376" xr:uid="{00000000-0005-0000-0000-0000634D0000}"/>
    <cellStyle name="Output 2 4 3 2" xfId="50767" xr:uid="{00000000-0005-0000-0000-0000644D0000}"/>
    <cellStyle name="Output 2 4 4" xfId="49647"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5"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1" xr:uid="{00000000-0005-0000-0000-0000754D0000}"/>
    <cellStyle name="Output 2 5 3" xfId="18391" xr:uid="{00000000-0005-0000-0000-0000764D0000}"/>
    <cellStyle name="Output 2 5 3 2" xfId="51131" xr:uid="{00000000-0005-0000-0000-0000774D0000}"/>
    <cellStyle name="Output 2 5 4" xfId="50036" xr:uid="{00000000-0005-0000-0000-0000784D0000}"/>
    <cellStyle name="Output 2 6" xfId="18392" xr:uid="{00000000-0005-0000-0000-0000794D0000}"/>
    <cellStyle name="Output 2 6 2" xfId="18393" xr:uid="{00000000-0005-0000-0000-00007A4D0000}"/>
    <cellStyle name="Output 2 6 3" xfId="50753" xr:uid="{00000000-0005-0000-0000-00007B4D0000}"/>
    <cellStyle name="Output 2 7" xfId="18394" xr:uid="{00000000-0005-0000-0000-00007C4D0000}"/>
    <cellStyle name="Output 2 7 2" xfId="18395" xr:uid="{00000000-0005-0000-0000-00007D4D0000}"/>
    <cellStyle name="Output 2 7 3" xfId="50909"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1" xr:uid="{00000000-0005-0000-0000-0000844D0000}"/>
    <cellStyle name="Output 3 2 2 3" xfId="50750" xr:uid="{00000000-0005-0000-0000-0000854D0000}"/>
    <cellStyle name="Output 3 2 2 4" xfId="49826" xr:uid="{00000000-0005-0000-0000-0000864D0000}"/>
    <cellStyle name="Output 3 2 3" xfId="50549" xr:uid="{00000000-0005-0000-0000-0000874D0000}"/>
    <cellStyle name="Output 3 2 4" xfId="51227" xr:uid="{00000000-0005-0000-0000-0000884D0000}"/>
    <cellStyle name="Output 3 2 5" xfId="49498" xr:uid="{00000000-0005-0000-0000-0000894D0000}"/>
    <cellStyle name="Output 3 3" xfId="18401" xr:uid="{00000000-0005-0000-0000-00008A4D0000}"/>
    <cellStyle name="Output 3 3 2" xfId="18402" xr:uid="{00000000-0005-0000-0000-00008B4D0000}"/>
    <cellStyle name="Output 3 3 2 2" xfId="50218" xr:uid="{00000000-0005-0000-0000-00008C4D0000}"/>
    <cellStyle name="Output 3 3 2 3" xfId="50850" xr:uid="{00000000-0005-0000-0000-00008D4D0000}"/>
    <cellStyle name="Output 3 3 2 4" xfId="49787" xr:uid="{00000000-0005-0000-0000-00008E4D0000}"/>
    <cellStyle name="Output 3 3 3" xfId="50587" xr:uid="{00000000-0005-0000-0000-00008F4D0000}"/>
    <cellStyle name="Output 3 3 4" xfId="51225" xr:uid="{00000000-0005-0000-0000-0000904D0000}"/>
    <cellStyle name="Output 3 3 5" xfId="49459" xr:uid="{00000000-0005-0000-0000-0000914D0000}"/>
    <cellStyle name="Output 3 4" xfId="18403" xr:uid="{00000000-0005-0000-0000-0000924D0000}"/>
    <cellStyle name="Output 3 4 2" xfId="50426" xr:uid="{00000000-0005-0000-0000-0000934D0000}"/>
    <cellStyle name="Output 3 4 3" xfId="50785" xr:uid="{00000000-0005-0000-0000-0000944D0000}"/>
    <cellStyle name="Output 3 4 4" xfId="49648" xr:uid="{00000000-0005-0000-0000-0000954D0000}"/>
    <cellStyle name="Output 3 5" xfId="50035" xr:uid="{00000000-0005-0000-0000-0000964D0000}"/>
    <cellStyle name="Output 3 5 2" xfId="51080" xr:uid="{00000000-0005-0000-0000-0000974D0000}"/>
    <cellStyle name="Output 3 5 3" xfId="50867" xr:uid="{00000000-0005-0000-0000-0000984D0000}"/>
    <cellStyle name="Output 3 6" xfId="50752" xr:uid="{00000000-0005-0000-0000-0000994D0000}"/>
    <cellStyle name="Output 3 7" xfId="50984" xr:uid="{00000000-0005-0000-0000-00009A4D0000}"/>
    <cellStyle name="Output 3 8" xfId="49236"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7"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8"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9" xr:uid="{00000000-0005-0000-0000-0000BF4F0000}"/>
    <cellStyle name="Percent 14" xfId="49240" xr:uid="{00000000-0005-0000-0000-0000C04F0000}"/>
    <cellStyle name="Percent 15" xfId="48243" xr:uid="{00000000-0005-0000-0000-0000C14F0000}"/>
    <cellStyle name="Percent 16" xfId="51690" xr:uid="{A5ABCC90-F860-4D7D-893B-9C9C2F1A77B2}"/>
    <cellStyle name="Percent 17" xfId="51692" xr:uid="{7E2A4EBC-EDAF-455C-99E2-6E0AFECBF748}"/>
    <cellStyle name="Percent 18" xfId="51694" xr:uid="{30F21A05-C29D-4306-B467-A48BF6254259}"/>
    <cellStyle name="Percent 18 2" xfId="51696"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7"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1"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4"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3"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6"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5"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8"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7"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2"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80"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50"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9"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1"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6"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2"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1"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2"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4"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3"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6"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5"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9"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3"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7"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9"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8"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1"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60"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6"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3"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2"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4"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5"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4"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5" xr:uid="{00000000-0005-0000-0000-0000B0B70000}"/>
    <cellStyle name="SAPBEXaggData 2 2 3" xfId="50782" xr:uid="{00000000-0005-0000-0000-0000B1B70000}"/>
    <cellStyle name="SAPBEXaggData 2 2 4" xfId="49838" xr:uid="{00000000-0005-0000-0000-0000B2B70000}"/>
    <cellStyle name="SAPBEXaggData 2 3" xfId="45513" xr:uid="{00000000-0005-0000-0000-0000B3B70000}"/>
    <cellStyle name="SAPBEXaggData 2 3 2" xfId="50537" xr:uid="{00000000-0005-0000-0000-0000B4B70000}"/>
    <cellStyle name="SAPBEXaggData 2 4" xfId="50981" xr:uid="{00000000-0005-0000-0000-0000B5B70000}"/>
    <cellStyle name="SAPBEXaggData 2 5" xfId="49510"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6" xr:uid="{00000000-0005-0000-0000-0000C2B70000}"/>
    <cellStyle name="SAPBEXaggData 3 2 2" xfId="50219" xr:uid="{00000000-0005-0000-0000-0000C3B70000}"/>
    <cellStyle name="SAPBEXaggData 3 2 3" xfId="51621" xr:uid="{00000000-0005-0000-0000-0000C4B70000}"/>
    <cellStyle name="SAPBEXaggData 3 3" xfId="50588" xr:uid="{00000000-0005-0000-0000-0000C5B70000}"/>
    <cellStyle name="SAPBEXaggData 3 4" xfId="51462" xr:uid="{00000000-0005-0000-0000-0000C6B70000}"/>
    <cellStyle name="SAPBEXaggData 3 5" xfId="49458"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6" xr:uid="{00000000-0005-0000-0000-0000CBB70000}"/>
    <cellStyle name="SAPBEXaggData 4" xfId="45528" xr:uid="{00000000-0005-0000-0000-0000CCB70000}"/>
    <cellStyle name="SAPBEXaggData 4 2" xfId="49827" xr:uid="{00000000-0005-0000-0000-0000CDB70000}"/>
    <cellStyle name="SAPBEXaggData 4 2 2" xfId="50180" xr:uid="{00000000-0005-0000-0000-0000CEB70000}"/>
    <cellStyle name="SAPBEXaggData 4 2 3" xfId="50781" xr:uid="{00000000-0005-0000-0000-0000CFB70000}"/>
    <cellStyle name="SAPBEXaggData 4 3" xfId="50548" xr:uid="{00000000-0005-0000-0000-0000D0B70000}"/>
    <cellStyle name="SAPBEXaggData 4 4" xfId="51483" xr:uid="{00000000-0005-0000-0000-0000D1B70000}"/>
    <cellStyle name="SAPBEXaggData 4 5" xfId="49499" xr:uid="{00000000-0005-0000-0000-0000D2B70000}"/>
    <cellStyle name="SAPBEXaggData 5" xfId="45529" xr:uid="{00000000-0005-0000-0000-0000D3B70000}"/>
    <cellStyle name="SAPBEXaggData 5 2" xfId="50425" xr:uid="{00000000-0005-0000-0000-0000D4B70000}"/>
    <cellStyle name="SAPBEXaggData 5 3" xfId="50770" xr:uid="{00000000-0005-0000-0000-0000D5B70000}"/>
    <cellStyle name="SAPBEXaggData 5 4" xfId="49649" xr:uid="{00000000-0005-0000-0000-0000D6B70000}"/>
    <cellStyle name="SAPBEXaggData 6" xfId="45530" xr:uid="{00000000-0005-0000-0000-0000D7B70000}"/>
    <cellStyle name="SAPBEXaggData 6 2" xfId="51079" xr:uid="{00000000-0005-0000-0000-0000D8B70000}"/>
    <cellStyle name="SAPBEXaggData 6 3" xfId="51130" xr:uid="{00000000-0005-0000-0000-0000D9B70000}"/>
    <cellStyle name="SAPBEXaggData 6 4" xfId="50034" xr:uid="{00000000-0005-0000-0000-0000DAB70000}"/>
    <cellStyle name="SAPBEXaggData 7" xfId="45531" xr:uid="{00000000-0005-0000-0000-0000DBB70000}"/>
    <cellStyle name="SAPBEXaggData 7 2" xfId="50747" xr:uid="{00000000-0005-0000-0000-0000DCB70000}"/>
    <cellStyle name="SAPBEXaggData 8" xfId="45532" xr:uid="{00000000-0005-0000-0000-0000DDB70000}"/>
    <cellStyle name="SAPBEXaggData 8 2" xfId="51471" xr:uid="{00000000-0005-0000-0000-0000DEB70000}"/>
    <cellStyle name="SAPBEXaggData 9" xfId="45533" xr:uid="{00000000-0005-0000-0000-0000DFB70000}"/>
    <cellStyle name="SAPBEXaggData 9 2" xfId="51215"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4" xr:uid="{00000000-0005-0000-0000-0000EFB70000}"/>
    <cellStyle name="SAPBEXaggDataEmph 2 2 3" xfId="50772" xr:uid="{00000000-0005-0000-0000-0000F0B70000}"/>
    <cellStyle name="SAPBEXaggDataEmph 2 2 4" xfId="49839" xr:uid="{00000000-0005-0000-0000-0000F1B70000}"/>
    <cellStyle name="SAPBEXaggDataEmph 2 3" xfId="45547" xr:uid="{00000000-0005-0000-0000-0000F2B70000}"/>
    <cellStyle name="SAPBEXaggDataEmph 2 3 2" xfId="50536" xr:uid="{00000000-0005-0000-0000-0000F3B70000}"/>
    <cellStyle name="SAPBEXaggDataEmph 2 4" xfId="50810" xr:uid="{00000000-0005-0000-0000-0000F4B70000}"/>
    <cellStyle name="SAPBEXaggDataEmph 2 5" xfId="49511"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5" xr:uid="{00000000-0005-0000-0000-000001B80000}"/>
    <cellStyle name="SAPBEXaggDataEmph 3 2 2" xfId="50220" xr:uid="{00000000-0005-0000-0000-000002B80000}"/>
    <cellStyle name="SAPBEXaggDataEmph 3 2 3" xfId="51393" xr:uid="{00000000-0005-0000-0000-000003B80000}"/>
    <cellStyle name="SAPBEXaggDataEmph 3 3" xfId="50589" xr:uid="{00000000-0005-0000-0000-000004B80000}"/>
    <cellStyle name="SAPBEXaggDataEmph 3 4" xfId="51204" xr:uid="{00000000-0005-0000-0000-000005B80000}"/>
    <cellStyle name="SAPBEXaggDataEmph 3 5" xfId="49457"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7" xr:uid="{00000000-0005-0000-0000-00000AB80000}"/>
    <cellStyle name="SAPBEXaggDataEmph 4" xfId="45562" xr:uid="{00000000-0005-0000-0000-00000BB80000}"/>
    <cellStyle name="SAPBEXaggDataEmph 4 2" xfId="49828" xr:uid="{00000000-0005-0000-0000-00000CB80000}"/>
    <cellStyle name="SAPBEXaggDataEmph 4 2 2" xfId="50179" xr:uid="{00000000-0005-0000-0000-00000DB80000}"/>
    <cellStyle name="SAPBEXaggDataEmph 4 2 3" xfId="50822" xr:uid="{00000000-0005-0000-0000-00000EB80000}"/>
    <cellStyle name="SAPBEXaggDataEmph 4 3" xfId="50547" xr:uid="{00000000-0005-0000-0000-00000FB80000}"/>
    <cellStyle name="SAPBEXaggDataEmph 4 4" xfId="51357" xr:uid="{00000000-0005-0000-0000-000010B80000}"/>
    <cellStyle name="SAPBEXaggDataEmph 4 5" xfId="49500" xr:uid="{00000000-0005-0000-0000-000011B80000}"/>
    <cellStyle name="SAPBEXaggDataEmph 5" xfId="45563" xr:uid="{00000000-0005-0000-0000-000012B80000}"/>
    <cellStyle name="SAPBEXaggDataEmph 5 2" xfId="50424" xr:uid="{00000000-0005-0000-0000-000013B80000}"/>
    <cellStyle name="SAPBEXaggDataEmph 5 3" xfId="50835" xr:uid="{00000000-0005-0000-0000-000014B80000}"/>
    <cellStyle name="SAPBEXaggDataEmph 5 4" xfId="49650" xr:uid="{00000000-0005-0000-0000-000015B80000}"/>
    <cellStyle name="SAPBEXaggDataEmph 6" xfId="45564" xr:uid="{00000000-0005-0000-0000-000016B80000}"/>
    <cellStyle name="SAPBEXaggDataEmph 6 2" xfId="51078" xr:uid="{00000000-0005-0000-0000-000017B80000}"/>
    <cellStyle name="SAPBEXaggDataEmph 6 3" xfId="51605" xr:uid="{00000000-0005-0000-0000-000018B80000}"/>
    <cellStyle name="SAPBEXaggDataEmph 6 4" xfId="50033" xr:uid="{00000000-0005-0000-0000-000019B80000}"/>
    <cellStyle name="SAPBEXaggDataEmph 7" xfId="45565" xr:uid="{00000000-0005-0000-0000-00001AB80000}"/>
    <cellStyle name="SAPBEXaggDataEmph 7 2" xfId="50746" xr:uid="{00000000-0005-0000-0000-00001BB80000}"/>
    <cellStyle name="SAPBEXaggDataEmph 8" xfId="45566" xr:uid="{00000000-0005-0000-0000-00001CB80000}"/>
    <cellStyle name="SAPBEXaggDataEmph 8 2" xfId="51216" xr:uid="{00000000-0005-0000-0000-00001DB80000}"/>
    <cellStyle name="SAPBEXaggDataEmph 9" xfId="45567" xr:uid="{00000000-0005-0000-0000-00001EB80000}"/>
    <cellStyle name="SAPBEXaggDataEmph 9 2" xfId="50778"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3" xr:uid="{00000000-0005-0000-0000-00002EB80000}"/>
    <cellStyle name="SAPBEXaggItem 2 2 3" xfId="50788" xr:uid="{00000000-0005-0000-0000-00002FB80000}"/>
    <cellStyle name="SAPBEXaggItem 2 2 4" xfId="49840" xr:uid="{00000000-0005-0000-0000-000030B80000}"/>
    <cellStyle name="SAPBEXaggItem 2 3" xfId="45581" xr:uid="{00000000-0005-0000-0000-000031B80000}"/>
    <cellStyle name="SAPBEXaggItem 2 3 2" xfId="50535" xr:uid="{00000000-0005-0000-0000-000032B80000}"/>
    <cellStyle name="SAPBEXaggItem 2 4" xfId="51241" xr:uid="{00000000-0005-0000-0000-000033B80000}"/>
    <cellStyle name="SAPBEXaggItem 2 5" xfId="49512"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4" xr:uid="{00000000-0005-0000-0000-000040B80000}"/>
    <cellStyle name="SAPBEXaggItem 3 2 2" xfId="50221" xr:uid="{00000000-0005-0000-0000-000041B80000}"/>
    <cellStyle name="SAPBEXaggItem 3 2 3" xfId="51425" xr:uid="{00000000-0005-0000-0000-000042B80000}"/>
    <cellStyle name="SAPBEXaggItem 3 3" xfId="50590" xr:uid="{00000000-0005-0000-0000-000043B80000}"/>
    <cellStyle name="SAPBEXaggItem 3 4" xfId="51491" xr:uid="{00000000-0005-0000-0000-000044B80000}"/>
    <cellStyle name="SAPBEXaggItem 3 5" xfId="49456"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8" xr:uid="{00000000-0005-0000-0000-000049B80000}"/>
    <cellStyle name="SAPBEXaggItem 4" xfId="45596" xr:uid="{00000000-0005-0000-0000-00004AB80000}"/>
    <cellStyle name="SAPBEXaggItem 4 2" xfId="49829" xr:uid="{00000000-0005-0000-0000-00004BB80000}"/>
    <cellStyle name="SAPBEXaggItem 4 2 2" xfId="50178" xr:uid="{00000000-0005-0000-0000-00004CB80000}"/>
    <cellStyle name="SAPBEXaggItem 4 2 3" xfId="50859" xr:uid="{00000000-0005-0000-0000-00004DB80000}"/>
    <cellStyle name="SAPBEXaggItem 4 3" xfId="50546" xr:uid="{00000000-0005-0000-0000-00004EB80000}"/>
    <cellStyle name="SAPBEXaggItem 4 4" xfId="51649" xr:uid="{00000000-0005-0000-0000-00004FB80000}"/>
    <cellStyle name="SAPBEXaggItem 4 5" xfId="49501" xr:uid="{00000000-0005-0000-0000-000050B80000}"/>
    <cellStyle name="SAPBEXaggItem 5" xfId="45597" xr:uid="{00000000-0005-0000-0000-000051B80000}"/>
    <cellStyle name="SAPBEXaggItem 5 2" xfId="50423" xr:uid="{00000000-0005-0000-0000-000052B80000}"/>
    <cellStyle name="SAPBEXaggItem 5 3" xfId="51633" xr:uid="{00000000-0005-0000-0000-000053B80000}"/>
    <cellStyle name="SAPBEXaggItem 5 4" xfId="49651" xr:uid="{00000000-0005-0000-0000-000054B80000}"/>
    <cellStyle name="SAPBEXaggItem 6" xfId="45598" xr:uid="{00000000-0005-0000-0000-000055B80000}"/>
    <cellStyle name="SAPBEXaggItem 6 2" xfId="51077" xr:uid="{00000000-0005-0000-0000-000056B80000}"/>
    <cellStyle name="SAPBEXaggItem 6 3" xfId="50923" xr:uid="{00000000-0005-0000-0000-000057B80000}"/>
    <cellStyle name="SAPBEXaggItem 6 4" xfId="50032" xr:uid="{00000000-0005-0000-0000-000058B80000}"/>
    <cellStyle name="SAPBEXaggItem 7" xfId="45599" xr:uid="{00000000-0005-0000-0000-000059B80000}"/>
    <cellStyle name="SAPBEXaggItem 7 2" xfId="50745" xr:uid="{00000000-0005-0000-0000-00005AB80000}"/>
    <cellStyle name="SAPBEXaggItem 8" xfId="45600" xr:uid="{00000000-0005-0000-0000-00005BB80000}"/>
    <cellStyle name="SAPBEXaggItem 8 2" xfId="51473" xr:uid="{00000000-0005-0000-0000-00005CB80000}"/>
    <cellStyle name="SAPBEXaggItem 9" xfId="45601" xr:uid="{00000000-0005-0000-0000-00005DB80000}"/>
    <cellStyle name="SAPBEXaggItem 9 2" xfId="51682"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2" xr:uid="{00000000-0005-0000-0000-00006DB80000}"/>
    <cellStyle name="SAPBEXaggItemX 2 2 3" xfId="51672" xr:uid="{00000000-0005-0000-0000-00006EB80000}"/>
    <cellStyle name="SAPBEXaggItemX 2 2 4" xfId="49841" xr:uid="{00000000-0005-0000-0000-00006FB80000}"/>
    <cellStyle name="SAPBEXaggItemX 2 3" xfId="45615" xr:uid="{00000000-0005-0000-0000-000070B80000}"/>
    <cellStyle name="SAPBEXaggItemX 2 3 2" xfId="50534" xr:uid="{00000000-0005-0000-0000-000071B80000}"/>
    <cellStyle name="SAPBEXaggItemX 2 4" xfId="51498" xr:uid="{00000000-0005-0000-0000-000072B80000}"/>
    <cellStyle name="SAPBEXaggItemX 2 5" xfId="49513"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3" xr:uid="{00000000-0005-0000-0000-00007FB80000}"/>
    <cellStyle name="SAPBEXaggItemX 3 2 2" xfId="50222" xr:uid="{00000000-0005-0000-0000-000080B80000}"/>
    <cellStyle name="SAPBEXaggItemX 3 2 3" xfId="51165" xr:uid="{00000000-0005-0000-0000-000081B80000}"/>
    <cellStyle name="SAPBEXaggItemX 3 3" xfId="50591" xr:uid="{00000000-0005-0000-0000-000082B80000}"/>
    <cellStyle name="SAPBEXaggItemX 3 4" xfId="51234" xr:uid="{00000000-0005-0000-0000-000083B80000}"/>
    <cellStyle name="SAPBEXaggItemX 3 5" xfId="49455"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9" xr:uid="{00000000-0005-0000-0000-000088B80000}"/>
    <cellStyle name="SAPBEXaggItemX 4" xfId="45630" xr:uid="{00000000-0005-0000-0000-000089B80000}"/>
    <cellStyle name="SAPBEXaggItemX 4 2" xfId="50422" xr:uid="{00000000-0005-0000-0000-00008AB80000}"/>
    <cellStyle name="SAPBEXaggItemX 4 3" xfId="50667" xr:uid="{00000000-0005-0000-0000-00008BB80000}"/>
    <cellStyle name="SAPBEXaggItemX 4 4" xfId="49652" xr:uid="{00000000-0005-0000-0000-00008CB80000}"/>
    <cellStyle name="SAPBEXaggItemX 5" xfId="45631" xr:uid="{00000000-0005-0000-0000-00008DB80000}"/>
    <cellStyle name="SAPBEXaggItemX 5 2" xfId="51076" xr:uid="{00000000-0005-0000-0000-00008EB80000}"/>
    <cellStyle name="SAPBEXaggItemX 5 3" xfId="51418" xr:uid="{00000000-0005-0000-0000-00008FB80000}"/>
    <cellStyle name="SAPBEXaggItemX 5 4" xfId="50031" xr:uid="{00000000-0005-0000-0000-000090B80000}"/>
    <cellStyle name="SAPBEXaggItemX 6" xfId="45632" xr:uid="{00000000-0005-0000-0000-000091B80000}"/>
    <cellStyle name="SAPBEXaggItemX 6 2" xfId="50744" xr:uid="{00000000-0005-0000-0000-000092B80000}"/>
    <cellStyle name="SAPBEXaggItemX 7" xfId="45633" xr:uid="{00000000-0005-0000-0000-000093B80000}"/>
    <cellStyle name="SAPBEXaggItemX 7 2" xfId="51342"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70" xr:uid="{00000000-0005-0000-0000-000098B80000}"/>
    <cellStyle name="SAPBEXchaText 2" xfId="45636" xr:uid="{00000000-0005-0000-0000-000099B80000}"/>
    <cellStyle name="SAPBEXchaText 2 2" xfId="49842" xr:uid="{00000000-0005-0000-0000-00009AB80000}"/>
    <cellStyle name="SAPBEXchaText 2 2 2" xfId="50171" xr:uid="{00000000-0005-0000-0000-00009BB80000}"/>
    <cellStyle name="SAPBEXchaText 2 2 3" xfId="50821" xr:uid="{00000000-0005-0000-0000-00009CB80000}"/>
    <cellStyle name="SAPBEXchaText 2 3" xfId="50533" xr:uid="{00000000-0005-0000-0000-00009DB80000}"/>
    <cellStyle name="SAPBEXchaText 2 4" xfId="51197" xr:uid="{00000000-0005-0000-0000-00009EB80000}"/>
    <cellStyle name="SAPBEXchaText 2 5" xfId="49514" xr:uid="{00000000-0005-0000-0000-00009FB80000}"/>
    <cellStyle name="SAPBEXchaText 3" xfId="49454" xr:uid="{00000000-0005-0000-0000-0000A0B80000}"/>
    <cellStyle name="SAPBEXchaText 3 2" xfId="49782" xr:uid="{00000000-0005-0000-0000-0000A1B80000}"/>
    <cellStyle name="SAPBEXchaText 3 2 2" xfId="50223" xr:uid="{00000000-0005-0000-0000-0000A2B80000}"/>
    <cellStyle name="SAPBEXchaText 3 2 3" xfId="51532" xr:uid="{00000000-0005-0000-0000-0000A3B80000}"/>
    <cellStyle name="SAPBEXchaText 3 3" xfId="50592" xr:uid="{00000000-0005-0000-0000-0000A4B80000}"/>
    <cellStyle name="SAPBEXchaText 3 4" xfId="50982" xr:uid="{00000000-0005-0000-0000-0000A5B80000}"/>
    <cellStyle name="SAPBEXchaText 4" xfId="49502" xr:uid="{00000000-0005-0000-0000-0000A6B80000}"/>
    <cellStyle name="SAPBEXchaText 4 2" xfId="49830" xr:uid="{00000000-0005-0000-0000-0000A7B80000}"/>
    <cellStyle name="SAPBEXchaText 4 2 2" xfId="50177" xr:uid="{00000000-0005-0000-0000-0000A8B80000}"/>
    <cellStyle name="SAPBEXchaText 4 2 3" xfId="50659" xr:uid="{00000000-0005-0000-0000-0000A9B80000}"/>
    <cellStyle name="SAPBEXchaText 4 3" xfId="50545" xr:uid="{00000000-0005-0000-0000-0000AAB80000}"/>
    <cellStyle name="SAPBEXchaText 4 4" xfId="50900" xr:uid="{00000000-0005-0000-0000-0000ABB80000}"/>
    <cellStyle name="SAPBEXchaText 5" xfId="49653" xr:uid="{00000000-0005-0000-0000-0000ACB80000}"/>
    <cellStyle name="SAPBEXchaText 5 2" xfId="50421" xr:uid="{00000000-0005-0000-0000-0000ADB80000}"/>
    <cellStyle name="SAPBEXchaText 5 3" xfId="51472" xr:uid="{00000000-0005-0000-0000-0000AEB80000}"/>
    <cellStyle name="SAPBEXchaText 6" xfId="50030" xr:uid="{00000000-0005-0000-0000-0000AFB80000}"/>
    <cellStyle name="SAPBEXchaText 6 2" xfId="51075" xr:uid="{00000000-0005-0000-0000-0000B0B80000}"/>
    <cellStyle name="SAPBEXchaText 6 3" xfId="51588" xr:uid="{00000000-0005-0000-0000-0000B1B80000}"/>
    <cellStyle name="SAPBEXchaText 7" xfId="50743" xr:uid="{00000000-0005-0000-0000-0000B2B80000}"/>
    <cellStyle name="SAPBEXchaText 8" xfId="51668" xr:uid="{00000000-0005-0000-0000-0000B3B80000}"/>
    <cellStyle name="SAPBEXchaText 9" xfId="51684"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70" xr:uid="{00000000-0005-0000-0000-0000C3B80000}"/>
    <cellStyle name="SAPBEXexcBad7 2 2 3" xfId="50880" xr:uid="{00000000-0005-0000-0000-0000C4B80000}"/>
    <cellStyle name="SAPBEXexcBad7 2 2 4" xfId="49843" xr:uid="{00000000-0005-0000-0000-0000C5B80000}"/>
    <cellStyle name="SAPBEXexcBad7 2 3" xfId="45650" xr:uid="{00000000-0005-0000-0000-0000C6B80000}"/>
    <cellStyle name="SAPBEXexcBad7 2 3 2" xfId="50532" xr:uid="{00000000-0005-0000-0000-0000C7B80000}"/>
    <cellStyle name="SAPBEXexcBad7 2 4" xfId="51455" xr:uid="{00000000-0005-0000-0000-0000C8B80000}"/>
    <cellStyle name="SAPBEXexcBad7 2 5" xfId="49515"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1" xr:uid="{00000000-0005-0000-0000-0000D5B80000}"/>
    <cellStyle name="SAPBEXexcBad7 3 2 2" xfId="50224" xr:uid="{00000000-0005-0000-0000-0000D6B80000}"/>
    <cellStyle name="SAPBEXexcBad7 3 2 3" xfId="51274" xr:uid="{00000000-0005-0000-0000-0000D7B80000}"/>
    <cellStyle name="SAPBEXexcBad7 3 3" xfId="50593" xr:uid="{00000000-0005-0000-0000-0000D8B80000}"/>
    <cellStyle name="SAPBEXexcBad7 3 4" xfId="51654" xr:uid="{00000000-0005-0000-0000-0000D9B80000}"/>
    <cellStyle name="SAPBEXexcBad7 3 5" xfId="49453"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1" xr:uid="{00000000-0005-0000-0000-0000DEB80000}"/>
    <cellStyle name="SAPBEXexcBad7 4" xfId="45665" xr:uid="{00000000-0005-0000-0000-0000DFB80000}"/>
    <cellStyle name="SAPBEXexcBad7 4 2" xfId="49831" xr:uid="{00000000-0005-0000-0000-0000E0B80000}"/>
    <cellStyle name="SAPBEXexcBad7 4 2 2" xfId="50176" xr:uid="{00000000-0005-0000-0000-0000E1B80000}"/>
    <cellStyle name="SAPBEXexcBad7 4 2 3" xfId="50836" xr:uid="{00000000-0005-0000-0000-0000E2B80000}"/>
    <cellStyle name="SAPBEXexcBad7 4 3" xfId="50544" xr:uid="{00000000-0005-0000-0000-0000E3B80000}"/>
    <cellStyle name="SAPBEXexcBad7 4 4" xfId="50971" xr:uid="{00000000-0005-0000-0000-0000E4B80000}"/>
    <cellStyle name="SAPBEXexcBad7 4 5" xfId="49503" xr:uid="{00000000-0005-0000-0000-0000E5B80000}"/>
    <cellStyle name="SAPBEXexcBad7 5" xfId="45666" xr:uid="{00000000-0005-0000-0000-0000E6B80000}"/>
    <cellStyle name="SAPBEXexcBad7 5 2" xfId="50420" xr:uid="{00000000-0005-0000-0000-0000E7B80000}"/>
    <cellStyle name="SAPBEXexcBad7 5 3" xfId="50769" xr:uid="{00000000-0005-0000-0000-0000E8B80000}"/>
    <cellStyle name="SAPBEXexcBad7 5 4" xfId="49654" xr:uid="{00000000-0005-0000-0000-0000E9B80000}"/>
    <cellStyle name="SAPBEXexcBad7 6" xfId="45667" xr:uid="{00000000-0005-0000-0000-0000EAB80000}"/>
    <cellStyle name="SAPBEXexcBad7 6 2" xfId="51074" xr:uid="{00000000-0005-0000-0000-0000EBB80000}"/>
    <cellStyle name="SAPBEXexcBad7 6 3" xfId="51331" xr:uid="{00000000-0005-0000-0000-0000ECB80000}"/>
    <cellStyle name="SAPBEXexcBad7 6 4" xfId="50029" xr:uid="{00000000-0005-0000-0000-0000EDB80000}"/>
    <cellStyle name="SAPBEXexcBad7 7" xfId="45668" xr:uid="{00000000-0005-0000-0000-0000EEB80000}"/>
    <cellStyle name="SAPBEXexcBad7 7 2" xfId="50742" xr:uid="{00000000-0005-0000-0000-0000EFB80000}"/>
    <cellStyle name="SAPBEXexcBad7 8" xfId="45669" xr:uid="{00000000-0005-0000-0000-0000F0B80000}"/>
    <cellStyle name="SAPBEXexcBad7 8 2" xfId="50910" xr:uid="{00000000-0005-0000-0000-0000F1B80000}"/>
    <cellStyle name="SAPBEXexcBad7 9" xfId="45670" xr:uid="{00000000-0005-0000-0000-0000F2B80000}"/>
    <cellStyle name="SAPBEXexcBad7 9 2" xfId="50943"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9" xr:uid="{00000000-0005-0000-0000-000002B90000}"/>
    <cellStyle name="SAPBEXexcBad8 2 2 3" xfId="51280" xr:uid="{00000000-0005-0000-0000-000003B90000}"/>
    <cellStyle name="SAPBEXexcBad8 2 2 4" xfId="49844" xr:uid="{00000000-0005-0000-0000-000004B90000}"/>
    <cellStyle name="SAPBEXexcBad8 2 3" xfId="45684" xr:uid="{00000000-0005-0000-0000-000005B90000}"/>
    <cellStyle name="SAPBEXexcBad8 2 3 2" xfId="50531" xr:uid="{00000000-0005-0000-0000-000006B90000}"/>
    <cellStyle name="SAPBEXexcBad8 2 4" xfId="51359" xr:uid="{00000000-0005-0000-0000-000007B90000}"/>
    <cellStyle name="SAPBEXexcBad8 2 5" xfId="49516"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80" xr:uid="{00000000-0005-0000-0000-000014B90000}"/>
    <cellStyle name="SAPBEXexcBad8 3 2 2" xfId="50225" xr:uid="{00000000-0005-0000-0000-000015B90000}"/>
    <cellStyle name="SAPBEXexcBad8 3 2 3" xfId="50820" xr:uid="{00000000-0005-0000-0000-000016B90000}"/>
    <cellStyle name="SAPBEXexcBad8 3 3" xfId="50594" xr:uid="{00000000-0005-0000-0000-000017B90000}"/>
    <cellStyle name="SAPBEXexcBad8 3 4" xfId="51351" xr:uid="{00000000-0005-0000-0000-000018B90000}"/>
    <cellStyle name="SAPBEXexcBad8 3 5" xfId="49452"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2" xr:uid="{00000000-0005-0000-0000-00001DB90000}"/>
    <cellStyle name="SAPBEXexcBad8 4" xfId="45699" xr:uid="{00000000-0005-0000-0000-00001EB90000}"/>
    <cellStyle name="SAPBEXexcBad8 4 2" xfId="49832" xr:uid="{00000000-0005-0000-0000-00001FB90000}"/>
    <cellStyle name="SAPBEXexcBad8 4 2 2" xfId="50840" xr:uid="{00000000-0005-0000-0000-000020B90000}"/>
    <cellStyle name="SAPBEXexcBad8 4 2 3" xfId="51396" xr:uid="{00000000-0005-0000-0000-000021B90000}"/>
    <cellStyle name="SAPBEXexcBad8 4 3" xfId="50543" xr:uid="{00000000-0005-0000-0000-000022B90000}"/>
    <cellStyle name="SAPBEXexcBad8 4 4" xfId="51240" xr:uid="{00000000-0005-0000-0000-000023B90000}"/>
    <cellStyle name="SAPBEXexcBad8 4 5" xfId="49504" xr:uid="{00000000-0005-0000-0000-000024B90000}"/>
    <cellStyle name="SAPBEXexcBad8 5" xfId="45700" xr:uid="{00000000-0005-0000-0000-000025B90000}"/>
    <cellStyle name="SAPBEXexcBad8 5 2" xfId="50419" xr:uid="{00000000-0005-0000-0000-000026B90000}"/>
    <cellStyle name="SAPBEXexcBad8 5 3" xfId="50787" xr:uid="{00000000-0005-0000-0000-000027B90000}"/>
    <cellStyle name="SAPBEXexcBad8 5 4" xfId="49655" xr:uid="{00000000-0005-0000-0000-000028B90000}"/>
    <cellStyle name="SAPBEXexcBad8 6" xfId="45701" xr:uid="{00000000-0005-0000-0000-000029B90000}"/>
    <cellStyle name="SAPBEXexcBad8 6 2" xfId="51073" xr:uid="{00000000-0005-0000-0000-00002AB90000}"/>
    <cellStyle name="SAPBEXexcBad8 6 3" xfId="51558" xr:uid="{00000000-0005-0000-0000-00002BB90000}"/>
    <cellStyle name="SAPBEXexcBad8 6 4" xfId="50028" xr:uid="{00000000-0005-0000-0000-00002CB90000}"/>
    <cellStyle name="SAPBEXexcBad8 7" xfId="45702" xr:uid="{00000000-0005-0000-0000-00002DB90000}"/>
    <cellStyle name="SAPBEXexcBad8 7 2" xfId="50741" xr:uid="{00000000-0005-0000-0000-00002EB90000}"/>
    <cellStyle name="SAPBEXexcBad8 8" xfId="45703" xr:uid="{00000000-0005-0000-0000-00002FB90000}"/>
    <cellStyle name="SAPBEXexcBad8 8 2" xfId="51219" xr:uid="{00000000-0005-0000-0000-000030B90000}"/>
    <cellStyle name="SAPBEXexcBad8 9" xfId="45704" xr:uid="{00000000-0005-0000-0000-000031B90000}"/>
    <cellStyle name="SAPBEXexcBad8 9 2" xfId="50764"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8" xr:uid="{00000000-0005-0000-0000-000041B90000}"/>
    <cellStyle name="SAPBEXexcBad9 2 2 3" xfId="51538" xr:uid="{00000000-0005-0000-0000-000042B90000}"/>
    <cellStyle name="SAPBEXexcBad9 2 2 4" xfId="49845" xr:uid="{00000000-0005-0000-0000-000043B90000}"/>
    <cellStyle name="SAPBEXexcBad9 2 3" xfId="45718" xr:uid="{00000000-0005-0000-0000-000044B90000}"/>
    <cellStyle name="SAPBEXexcBad9 2 3 2" xfId="50530" xr:uid="{00000000-0005-0000-0000-000045B90000}"/>
    <cellStyle name="SAPBEXexcBad9 2 4" xfId="51647" xr:uid="{00000000-0005-0000-0000-000046B90000}"/>
    <cellStyle name="SAPBEXexcBad9 2 5" xfId="49517"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9" xr:uid="{00000000-0005-0000-0000-000053B90000}"/>
    <cellStyle name="SAPBEXexcBad9 3 2 2" xfId="50226" xr:uid="{00000000-0005-0000-0000-000054B90000}"/>
    <cellStyle name="SAPBEXexcBad9 3 2 3" xfId="51595" xr:uid="{00000000-0005-0000-0000-000055B90000}"/>
    <cellStyle name="SAPBEXexcBad9 3 3" xfId="50595" xr:uid="{00000000-0005-0000-0000-000056B90000}"/>
    <cellStyle name="SAPBEXexcBad9 3 4" xfId="51568" xr:uid="{00000000-0005-0000-0000-000057B90000}"/>
    <cellStyle name="SAPBEXexcBad9 3 5" xfId="49451"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3" xr:uid="{00000000-0005-0000-0000-00005CB90000}"/>
    <cellStyle name="SAPBEXexcBad9 4" xfId="45733" xr:uid="{00000000-0005-0000-0000-00005DB90000}"/>
    <cellStyle name="SAPBEXexcBad9 4 2" xfId="50418" xr:uid="{00000000-0005-0000-0000-00005EB90000}"/>
    <cellStyle name="SAPBEXexcBad9 4 3" xfId="50766" xr:uid="{00000000-0005-0000-0000-00005FB90000}"/>
    <cellStyle name="SAPBEXexcBad9 4 4" xfId="49656" xr:uid="{00000000-0005-0000-0000-000060B90000}"/>
    <cellStyle name="SAPBEXexcBad9 5" xfId="45734" xr:uid="{00000000-0005-0000-0000-000061B90000}"/>
    <cellStyle name="SAPBEXexcBad9 5 2" xfId="51072" xr:uid="{00000000-0005-0000-0000-000062B90000}"/>
    <cellStyle name="SAPBEXexcBad9 5 3" xfId="51300" xr:uid="{00000000-0005-0000-0000-000063B90000}"/>
    <cellStyle name="SAPBEXexcBad9 5 4" xfId="50027" xr:uid="{00000000-0005-0000-0000-000064B90000}"/>
    <cellStyle name="SAPBEXexcBad9 6" xfId="45735" xr:uid="{00000000-0005-0000-0000-000065B90000}"/>
    <cellStyle name="SAPBEXexcBad9 6 2" xfId="50740" xr:uid="{00000000-0005-0000-0000-000066B90000}"/>
    <cellStyle name="SAPBEXexcBad9 7" xfId="45736" xr:uid="{00000000-0005-0000-0000-000067B90000}"/>
    <cellStyle name="SAPBEXexcBad9 7 2" xfId="51476"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3" xr:uid="{00000000-0005-0000-0000-000079B90000}"/>
    <cellStyle name="SAPBEXexcCritical4 2 2 3" xfId="51312" xr:uid="{00000000-0005-0000-0000-00007AB90000}"/>
    <cellStyle name="SAPBEXexcCritical4 2 2 4" xfId="49846" xr:uid="{00000000-0005-0000-0000-00007BB90000}"/>
    <cellStyle name="SAPBEXexcCritical4 2 3" xfId="45752" xr:uid="{00000000-0005-0000-0000-00007CB90000}"/>
    <cellStyle name="SAPBEXexcCritical4 2 3 2" xfId="50529" xr:uid="{00000000-0005-0000-0000-00007DB90000}"/>
    <cellStyle name="SAPBEXexcCritical4 2 4" xfId="50950" xr:uid="{00000000-0005-0000-0000-00007EB90000}"/>
    <cellStyle name="SAPBEXexcCritical4 2 5" xfId="49518"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8" xr:uid="{00000000-0005-0000-0000-00008BB90000}"/>
    <cellStyle name="SAPBEXexcCritical4 3 2 2" xfId="50227" xr:uid="{00000000-0005-0000-0000-00008CB90000}"/>
    <cellStyle name="SAPBEXexcCritical4 3 2 3" xfId="51392" xr:uid="{00000000-0005-0000-0000-00008DB90000}"/>
    <cellStyle name="SAPBEXexcCritical4 3 3" xfId="50596" xr:uid="{00000000-0005-0000-0000-00008EB90000}"/>
    <cellStyle name="SAPBEXexcCritical4 3 4" xfId="51311" xr:uid="{00000000-0005-0000-0000-00008FB90000}"/>
    <cellStyle name="SAPBEXexcCritical4 3 5" xfId="49450"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4" xr:uid="{00000000-0005-0000-0000-000094B90000}"/>
    <cellStyle name="SAPBEXexcCritical4 4" xfId="45767" xr:uid="{00000000-0005-0000-0000-000095B90000}"/>
    <cellStyle name="SAPBEXexcCritical4 4 2" xfId="49926" xr:uid="{00000000-0005-0000-0000-000096B90000}"/>
    <cellStyle name="SAPBEXexcCritical4 4 2 2" xfId="50092" xr:uid="{00000000-0005-0000-0000-000097B90000}"/>
    <cellStyle name="SAPBEXexcCritical4 4 2 3" xfId="51111" xr:uid="{00000000-0005-0000-0000-000098B90000}"/>
    <cellStyle name="SAPBEXexcCritical4 4 3" xfId="50449" xr:uid="{00000000-0005-0000-0000-000099B90000}"/>
    <cellStyle name="SAPBEXexcCritical4 4 4" xfId="51244" xr:uid="{00000000-0005-0000-0000-00009AB90000}"/>
    <cellStyle name="SAPBEXexcCritical4 4 5" xfId="49598" xr:uid="{00000000-0005-0000-0000-00009BB90000}"/>
    <cellStyle name="SAPBEXexcCritical4 5" xfId="45768" xr:uid="{00000000-0005-0000-0000-00009CB90000}"/>
    <cellStyle name="SAPBEXexcCritical4 5 2" xfId="50417" xr:uid="{00000000-0005-0000-0000-00009DB90000}"/>
    <cellStyle name="SAPBEXexcCritical4 5 3" xfId="50784" xr:uid="{00000000-0005-0000-0000-00009EB90000}"/>
    <cellStyle name="SAPBEXexcCritical4 5 4" xfId="49657" xr:uid="{00000000-0005-0000-0000-00009FB90000}"/>
    <cellStyle name="SAPBEXexcCritical4 6" xfId="45769" xr:uid="{00000000-0005-0000-0000-0000A0B90000}"/>
    <cellStyle name="SAPBEXexcCritical4 6 2" xfId="51071" xr:uid="{00000000-0005-0000-0000-0000A1B90000}"/>
    <cellStyle name="SAPBEXexcCritical4 6 3" xfId="51129" xr:uid="{00000000-0005-0000-0000-0000A2B90000}"/>
    <cellStyle name="SAPBEXexcCritical4 6 4" xfId="50026" xr:uid="{00000000-0005-0000-0000-0000A3B90000}"/>
    <cellStyle name="SAPBEXexcCritical4 7" xfId="45770" xr:uid="{00000000-0005-0000-0000-0000A4B90000}"/>
    <cellStyle name="SAPBEXexcCritical4 7 2" xfId="50739" xr:uid="{00000000-0005-0000-0000-0000A5B90000}"/>
    <cellStyle name="SAPBEXexcCritical4 8" xfId="45771" xr:uid="{00000000-0005-0000-0000-0000A6B90000}"/>
    <cellStyle name="SAPBEXexcCritical4 8 2" xfId="51212" xr:uid="{00000000-0005-0000-0000-0000A7B90000}"/>
    <cellStyle name="SAPBEXexcCritical4 9" xfId="45772" xr:uid="{00000000-0005-0000-0000-0000A8B90000}"/>
    <cellStyle name="SAPBEXexcCritical4 9 2" xfId="51688"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9" xr:uid="{00000000-0005-0000-0000-0000B8B90000}"/>
    <cellStyle name="SAPBEXexcCritical5 2 2 3" xfId="51569" xr:uid="{00000000-0005-0000-0000-0000B9B90000}"/>
    <cellStyle name="SAPBEXexcCritical5 2 2 4" xfId="49847" xr:uid="{00000000-0005-0000-0000-0000BAB90000}"/>
    <cellStyle name="SAPBEXexcCritical5 2 3" xfId="45786" xr:uid="{00000000-0005-0000-0000-0000BBB90000}"/>
    <cellStyle name="SAPBEXexcCritical5 2 3 2" xfId="50528" xr:uid="{00000000-0005-0000-0000-0000BCB90000}"/>
    <cellStyle name="SAPBEXexcCritical5 2 4" xfId="50891" xr:uid="{00000000-0005-0000-0000-0000BDB90000}"/>
    <cellStyle name="SAPBEXexcCritical5 2 5" xfId="49519"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7" xr:uid="{00000000-0005-0000-0000-0000CAB90000}"/>
    <cellStyle name="SAPBEXexcCritical5 3 2 2" xfId="50228" xr:uid="{00000000-0005-0000-0000-0000CBB90000}"/>
    <cellStyle name="SAPBEXexcCritical5 3 2 3" xfId="51426" xr:uid="{00000000-0005-0000-0000-0000CCB90000}"/>
    <cellStyle name="SAPBEXexcCritical5 3 3" xfId="50597" xr:uid="{00000000-0005-0000-0000-0000CDB90000}"/>
    <cellStyle name="SAPBEXexcCritical5 3 4" xfId="51463" xr:uid="{00000000-0005-0000-0000-0000CEB90000}"/>
    <cellStyle name="SAPBEXexcCritical5 3 5" xfId="49449"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5" xr:uid="{00000000-0005-0000-0000-0000D3B90000}"/>
    <cellStyle name="SAPBEXexcCritical5 4" xfId="45801" xr:uid="{00000000-0005-0000-0000-0000D4B90000}"/>
    <cellStyle name="SAPBEXexcCritical5 4 2" xfId="49927" xr:uid="{00000000-0005-0000-0000-0000D5B90000}"/>
    <cellStyle name="SAPBEXexcCritical5 4 2 2" xfId="50830" xr:uid="{00000000-0005-0000-0000-0000D6B90000}"/>
    <cellStyle name="SAPBEXexcCritical5 4 2 3" xfId="51158" xr:uid="{00000000-0005-0000-0000-0000D7B90000}"/>
    <cellStyle name="SAPBEXexcCritical5 4 3" xfId="50448" xr:uid="{00000000-0005-0000-0000-0000D8B90000}"/>
    <cellStyle name="SAPBEXexcCritical5 4 4" xfId="51501" xr:uid="{00000000-0005-0000-0000-0000D9B90000}"/>
    <cellStyle name="SAPBEXexcCritical5 4 5" xfId="49599" xr:uid="{00000000-0005-0000-0000-0000DAB90000}"/>
    <cellStyle name="SAPBEXexcCritical5 5" xfId="45802" xr:uid="{00000000-0005-0000-0000-0000DBB90000}"/>
    <cellStyle name="SAPBEXexcCritical5 5 2" xfId="50416" xr:uid="{00000000-0005-0000-0000-0000DCB90000}"/>
    <cellStyle name="SAPBEXexcCritical5 5 3" xfId="50771" xr:uid="{00000000-0005-0000-0000-0000DDB90000}"/>
    <cellStyle name="SAPBEXexcCritical5 5 4" xfId="49658" xr:uid="{00000000-0005-0000-0000-0000DEB90000}"/>
    <cellStyle name="SAPBEXexcCritical5 6" xfId="45803" xr:uid="{00000000-0005-0000-0000-0000DFB90000}"/>
    <cellStyle name="SAPBEXexcCritical5 6 2" xfId="51070" xr:uid="{00000000-0005-0000-0000-0000E0B90000}"/>
    <cellStyle name="SAPBEXexcCritical5 6 3" xfId="51128" xr:uid="{00000000-0005-0000-0000-0000E1B90000}"/>
    <cellStyle name="SAPBEXexcCritical5 6 4" xfId="50025" xr:uid="{00000000-0005-0000-0000-0000E2B90000}"/>
    <cellStyle name="SAPBEXexcCritical5 7" xfId="45804" xr:uid="{00000000-0005-0000-0000-0000E3B90000}"/>
    <cellStyle name="SAPBEXexcCritical5 7 2" xfId="50738" xr:uid="{00000000-0005-0000-0000-0000E4B90000}"/>
    <cellStyle name="SAPBEXexcCritical5 8" xfId="45805" xr:uid="{00000000-0005-0000-0000-0000E5B90000}"/>
    <cellStyle name="SAPBEXexcCritical5 8 2" xfId="51470" xr:uid="{00000000-0005-0000-0000-0000E6B90000}"/>
    <cellStyle name="SAPBEXexcCritical5 9" xfId="45806" xr:uid="{00000000-0005-0000-0000-0000E7B90000}"/>
    <cellStyle name="SAPBEXexcCritical5 9 2" xfId="50795"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7" xr:uid="{00000000-0005-0000-0000-0000F7B90000}"/>
    <cellStyle name="SAPBEXexcCritical6 2 2 3" xfId="51399" xr:uid="{00000000-0005-0000-0000-0000F8B90000}"/>
    <cellStyle name="SAPBEXexcCritical6 2 2 4" xfId="49848" xr:uid="{00000000-0005-0000-0000-0000F9B90000}"/>
    <cellStyle name="SAPBEXexcCritical6 2 3" xfId="45820" xr:uid="{00000000-0005-0000-0000-0000FAB90000}"/>
    <cellStyle name="SAPBEXexcCritical6 2 3 2" xfId="50527" xr:uid="{00000000-0005-0000-0000-0000FBB90000}"/>
    <cellStyle name="SAPBEXexcCritical6 2 4" xfId="51243" xr:uid="{00000000-0005-0000-0000-0000FCB90000}"/>
    <cellStyle name="SAPBEXexcCritical6 2 5" xfId="49520"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6" xr:uid="{00000000-0005-0000-0000-000009BA0000}"/>
    <cellStyle name="SAPBEXexcCritical6 3 2 2" xfId="50229" xr:uid="{00000000-0005-0000-0000-00000ABA0000}"/>
    <cellStyle name="SAPBEXexcCritical6 3 2 3" xfId="51166" xr:uid="{00000000-0005-0000-0000-00000BBA0000}"/>
    <cellStyle name="SAPBEXexcCritical6 3 3" xfId="50598" xr:uid="{00000000-0005-0000-0000-00000CBA0000}"/>
    <cellStyle name="SAPBEXexcCritical6 3 4" xfId="51205" xr:uid="{00000000-0005-0000-0000-00000DBA0000}"/>
    <cellStyle name="SAPBEXexcCritical6 3 5" xfId="49448"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6" xr:uid="{00000000-0005-0000-0000-000012BA0000}"/>
    <cellStyle name="SAPBEXexcCritical6 4" xfId="45835" xr:uid="{00000000-0005-0000-0000-000013BA0000}"/>
    <cellStyle name="SAPBEXexcCritical6 4 2" xfId="49833" xr:uid="{00000000-0005-0000-0000-000014BA0000}"/>
    <cellStyle name="SAPBEXexcCritical6 4 2 2" xfId="50839" xr:uid="{00000000-0005-0000-0000-000015BA0000}"/>
    <cellStyle name="SAPBEXexcCritical6 4 2 3" xfId="50749" xr:uid="{00000000-0005-0000-0000-000016BA0000}"/>
    <cellStyle name="SAPBEXexcCritical6 4 3" xfId="50542" xr:uid="{00000000-0005-0000-0000-000017BA0000}"/>
    <cellStyle name="SAPBEXexcCritical6 4 4" xfId="51497" xr:uid="{00000000-0005-0000-0000-000018BA0000}"/>
    <cellStyle name="SAPBEXexcCritical6 4 5" xfId="49505" xr:uid="{00000000-0005-0000-0000-000019BA0000}"/>
    <cellStyle name="SAPBEXexcCritical6 5" xfId="45836" xr:uid="{00000000-0005-0000-0000-00001ABA0000}"/>
    <cellStyle name="SAPBEXexcCritical6 5 2" xfId="50415" xr:uid="{00000000-0005-0000-0000-00001BBA0000}"/>
    <cellStyle name="SAPBEXexcCritical6 5 3" xfId="50072" xr:uid="{00000000-0005-0000-0000-00001CBA0000}"/>
    <cellStyle name="SAPBEXexcCritical6 5 4" xfId="49659" xr:uid="{00000000-0005-0000-0000-00001DBA0000}"/>
    <cellStyle name="SAPBEXexcCritical6 6" xfId="45837" xr:uid="{00000000-0005-0000-0000-00001EBA0000}"/>
    <cellStyle name="SAPBEXexcCritical6 6 2" xfId="51069" xr:uid="{00000000-0005-0000-0000-00001FBA0000}"/>
    <cellStyle name="SAPBEXexcCritical6 6 3" xfId="51127" xr:uid="{00000000-0005-0000-0000-000020BA0000}"/>
    <cellStyle name="SAPBEXexcCritical6 6 4" xfId="50024" xr:uid="{00000000-0005-0000-0000-000021BA0000}"/>
    <cellStyle name="SAPBEXexcCritical6 7" xfId="45838" xr:uid="{00000000-0005-0000-0000-000022BA0000}"/>
    <cellStyle name="SAPBEXexcCritical6 7 2" xfId="50737" xr:uid="{00000000-0005-0000-0000-000023BA0000}"/>
    <cellStyle name="SAPBEXexcCritical6 8" xfId="45839" xr:uid="{00000000-0005-0000-0000-000024BA0000}"/>
    <cellStyle name="SAPBEXexcCritical6 8 2" xfId="51217" xr:uid="{00000000-0005-0000-0000-000025BA0000}"/>
    <cellStyle name="SAPBEXexcCritical6 9" xfId="45840" xr:uid="{00000000-0005-0000-0000-000026BA0000}"/>
    <cellStyle name="SAPBEXexcCritical6 9 2" xfId="50679"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6" xr:uid="{00000000-0005-0000-0000-000036BA0000}"/>
    <cellStyle name="SAPBEXexcGood1 2 2 3" xfId="51619" xr:uid="{00000000-0005-0000-0000-000037BA0000}"/>
    <cellStyle name="SAPBEXexcGood1 2 2 4" xfId="49849" xr:uid="{00000000-0005-0000-0000-000038BA0000}"/>
    <cellStyle name="SAPBEXexcGood1 2 3" xfId="45854" xr:uid="{00000000-0005-0000-0000-000039BA0000}"/>
    <cellStyle name="SAPBEXexcGood1 2 3 2" xfId="50526" xr:uid="{00000000-0005-0000-0000-00003ABA0000}"/>
    <cellStyle name="SAPBEXexcGood1 2 4" xfId="51500" xr:uid="{00000000-0005-0000-0000-00003BBA0000}"/>
    <cellStyle name="SAPBEXexcGood1 2 5" xfId="49521"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5" xr:uid="{00000000-0005-0000-0000-000048BA0000}"/>
    <cellStyle name="SAPBEXexcGood1 3 2 2" xfId="50230" xr:uid="{00000000-0005-0000-0000-000049BA0000}"/>
    <cellStyle name="SAPBEXexcGood1 3 2 3" xfId="51531" xr:uid="{00000000-0005-0000-0000-00004ABA0000}"/>
    <cellStyle name="SAPBEXexcGood1 3 3" xfId="50599" xr:uid="{00000000-0005-0000-0000-00004BBA0000}"/>
    <cellStyle name="SAPBEXexcGood1 3 4" xfId="51490" xr:uid="{00000000-0005-0000-0000-00004CBA0000}"/>
    <cellStyle name="SAPBEXexcGood1 3 5" xfId="49447"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7" xr:uid="{00000000-0005-0000-0000-000051BA0000}"/>
    <cellStyle name="SAPBEXexcGood1 4" xfId="45869" xr:uid="{00000000-0005-0000-0000-000052BA0000}"/>
    <cellStyle name="SAPBEXexcGood1 4 2" xfId="49930" xr:uid="{00000000-0005-0000-0000-000053BA0000}"/>
    <cellStyle name="SAPBEXexcGood1 4 2 2" xfId="50829" xr:uid="{00000000-0005-0000-0000-000054BA0000}"/>
    <cellStyle name="SAPBEXexcGood1 4 2 3" xfId="51152" xr:uid="{00000000-0005-0000-0000-000055BA0000}"/>
    <cellStyle name="SAPBEXexcGood1 4 3" xfId="50445" xr:uid="{00000000-0005-0000-0000-000056BA0000}"/>
    <cellStyle name="SAPBEXexcGood1 4 4" xfId="51362" xr:uid="{00000000-0005-0000-0000-000057BA0000}"/>
    <cellStyle name="SAPBEXexcGood1 4 5" xfId="49602" xr:uid="{00000000-0005-0000-0000-000058BA0000}"/>
    <cellStyle name="SAPBEXexcGood1 5" xfId="45870" xr:uid="{00000000-0005-0000-0000-000059BA0000}"/>
    <cellStyle name="SAPBEXexcGood1 5 2" xfId="50414" xr:uid="{00000000-0005-0000-0000-00005ABA0000}"/>
    <cellStyle name="SAPBEXexcGood1 5 3" xfId="50916" xr:uid="{00000000-0005-0000-0000-00005BBA0000}"/>
    <cellStyle name="SAPBEXexcGood1 5 4" xfId="49660" xr:uid="{00000000-0005-0000-0000-00005CBA0000}"/>
    <cellStyle name="SAPBEXexcGood1 6" xfId="45871" xr:uid="{00000000-0005-0000-0000-00005DBA0000}"/>
    <cellStyle name="SAPBEXexcGood1 6 2" xfId="51068" xr:uid="{00000000-0005-0000-0000-00005EBA0000}"/>
    <cellStyle name="SAPBEXexcGood1 6 3" xfId="51126" xr:uid="{00000000-0005-0000-0000-00005FBA0000}"/>
    <cellStyle name="SAPBEXexcGood1 6 4" xfId="50023" xr:uid="{00000000-0005-0000-0000-000060BA0000}"/>
    <cellStyle name="SAPBEXexcGood1 7" xfId="45872" xr:uid="{00000000-0005-0000-0000-000061BA0000}"/>
    <cellStyle name="SAPBEXexcGood1 7 2" xfId="50736" xr:uid="{00000000-0005-0000-0000-000062BA0000}"/>
    <cellStyle name="SAPBEXexcGood1 8" xfId="45873" xr:uid="{00000000-0005-0000-0000-000063BA0000}"/>
    <cellStyle name="SAPBEXexcGood1 8 2" xfId="51474" xr:uid="{00000000-0005-0000-0000-000064BA0000}"/>
    <cellStyle name="SAPBEXexcGood1 9" xfId="45874" xr:uid="{00000000-0005-0000-0000-000065BA0000}"/>
    <cellStyle name="SAPBEXexcGood1 9 2" xfId="51685"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5" xr:uid="{00000000-0005-0000-0000-000075BA0000}"/>
    <cellStyle name="SAPBEXexcGood2 2 2 3" xfId="50649" xr:uid="{00000000-0005-0000-0000-000076BA0000}"/>
    <cellStyle name="SAPBEXexcGood2 2 2 4" xfId="49850" xr:uid="{00000000-0005-0000-0000-000077BA0000}"/>
    <cellStyle name="SAPBEXexcGood2 2 3" xfId="45888" xr:uid="{00000000-0005-0000-0000-000078BA0000}"/>
    <cellStyle name="SAPBEXexcGood2 2 3 2" xfId="50525" xr:uid="{00000000-0005-0000-0000-000079BA0000}"/>
    <cellStyle name="SAPBEXexcGood2 2 4" xfId="51195" xr:uid="{00000000-0005-0000-0000-00007ABA0000}"/>
    <cellStyle name="SAPBEXexcGood2 2 5" xfId="49522"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4" xr:uid="{00000000-0005-0000-0000-000087BA0000}"/>
    <cellStyle name="SAPBEXexcGood2 3 2 2" xfId="50231" xr:uid="{00000000-0005-0000-0000-000088BA0000}"/>
    <cellStyle name="SAPBEXexcGood2 3 2 3" xfId="51273" xr:uid="{00000000-0005-0000-0000-000089BA0000}"/>
    <cellStyle name="SAPBEXexcGood2 3 3" xfId="50600" xr:uid="{00000000-0005-0000-0000-00008ABA0000}"/>
    <cellStyle name="SAPBEXexcGood2 3 4" xfId="51233" xr:uid="{00000000-0005-0000-0000-00008BBA0000}"/>
    <cellStyle name="SAPBEXexcGood2 3 5" xfId="49446"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8" xr:uid="{00000000-0005-0000-0000-000090BA0000}"/>
    <cellStyle name="SAPBEXexcGood2 4" xfId="45903" xr:uid="{00000000-0005-0000-0000-000091BA0000}"/>
    <cellStyle name="SAPBEXexcGood2 4 2" xfId="49834" xr:uid="{00000000-0005-0000-0000-000092BA0000}"/>
    <cellStyle name="SAPBEXexcGood2 4 2 2" xfId="50841" xr:uid="{00000000-0005-0000-0000-000093BA0000}"/>
    <cellStyle name="SAPBEXexcGood2 4 2 3" xfId="51662" xr:uid="{00000000-0005-0000-0000-000094BA0000}"/>
    <cellStyle name="SAPBEXexcGood2 4 3" xfId="50541" xr:uid="{00000000-0005-0000-0000-000095BA0000}"/>
    <cellStyle name="SAPBEXexcGood2 4 4" xfId="51198" xr:uid="{00000000-0005-0000-0000-000096BA0000}"/>
    <cellStyle name="SAPBEXexcGood2 4 5" xfId="49506" xr:uid="{00000000-0005-0000-0000-000097BA0000}"/>
    <cellStyle name="SAPBEXexcGood2 5" xfId="45904" xr:uid="{00000000-0005-0000-0000-000098BA0000}"/>
    <cellStyle name="SAPBEXexcGood2 5 2" xfId="50413" xr:uid="{00000000-0005-0000-0000-000099BA0000}"/>
    <cellStyle name="SAPBEXexcGood2 5 3" xfId="51259" xr:uid="{00000000-0005-0000-0000-00009ABA0000}"/>
    <cellStyle name="SAPBEXexcGood2 5 4" xfId="49661" xr:uid="{00000000-0005-0000-0000-00009BBA0000}"/>
    <cellStyle name="SAPBEXexcGood2 6" xfId="45905" xr:uid="{00000000-0005-0000-0000-00009CBA0000}"/>
    <cellStyle name="SAPBEXexcGood2 6 2" xfId="51067" xr:uid="{00000000-0005-0000-0000-00009DBA0000}"/>
    <cellStyle name="SAPBEXexcGood2 6 3" xfId="51606" xr:uid="{00000000-0005-0000-0000-00009EBA0000}"/>
    <cellStyle name="SAPBEXexcGood2 6 4" xfId="50022" xr:uid="{00000000-0005-0000-0000-00009FBA0000}"/>
    <cellStyle name="SAPBEXexcGood2 7" xfId="45906" xr:uid="{00000000-0005-0000-0000-0000A0BA0000}"/>
    <cellStyle name="SAPBEXexcGood2 7 2" xfId="50735" xr:uid="{00000000-0005-0000-0000-0000A1BA0000}"/>
    <cellStyle name="SAPBEXexcGood2 8" xfId="45907" xr:uid="{00000000-0005-0000-0000-0000A2BA0000}"/>
    <cellStyle name="SAPBEXexcGood2 8 2" xfId="51343" xr:uid="{00000000-0005-0000-0000-0000A3BA0000}"/>
    <cellStyle name="SAPBEXexcGood2 9" xfId="45908" xr:uid="{00000000-0005-0000-0000-0000A4BA0000}"/>
    <cellStyle name="SAPBEXexcGood2 9 2" xfId="50748"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4" xr:uid="{00000000-0005-0000-0000-0000B4BA0000}"/>
    <cellStyle name="SAPBEXexcGood3 2 2 3" xfId="51313" xr:uid="{00000000-0005-0000-0000-0000B5BA0000}"/>
    <cellStyle name="SAPBEXexcGood3 2 2 4" xfId="49851" xr:uid="{00000000-0005-0000-0000-0000B6BA0000}"/>
    <cellStyle name="SAPBEXexcGood3 2 3" xfId="45922" xr:uid="{00000000-0005-0000-0000-0000B7BA0000}"/>
    <cellStyle name="SAPBEXexcGood3 2 3 2" xfId="50524" xr:uid="{00000000-0005-0000-0000-0000B8BA0000}"/>
    <cellStyle name="SAPBEXexcGood3 2 4" xfId="51453" xr:uid="{00000000-0005-0000-0000-0000B9BA0000}"/>
    <cellStyle name="SAPBEXexcGood3 2 5" xfId="49523"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3" xr:uid="{00000000-0005-0000-0000-0000C6BA0000}"/>
    <cellStyle name="SAPBEXexcGood3 3 2 2" xfId="50232" xr:uid="{00000000-0005-0000-0000-0000C7BA0000}"/>
    <cellStyle name="SAPBEXexcGood3 3 2 3" xfId="50819" xr:uid="{00000000-0005-0000-0000-0000C8BA0000}"/>
    <cellStyle name="SAPBEXexcGood3 3 3" xfId="50601" xr:uid="{00000000-0005-0000-0000-0000C9BA0000}"/>
    <cellStyle name="SAPBEXexcGood3 3 4" xfId="50913" xr:uid="{00000000-0005-0000-0000-0000CABA0000}"/>
    <cellStyle name="SAPBEXexcGood3 3 5" xfId="49445"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9" xr:uid="{00000000-0005-0000-0000-0000CFBA0000}"/>
    <cellStyle name="SAPBEXexcGood3 4" xfId="45937" xr:uid="{00000000-0005-0000-0000-0000D0BA0000}"/>
    <cellStyle name="SAPBEXexcGood3 4 2" xfId="49835" xr:uid="{00000000-0005-0000-0000-0000D1BA0000}"/>
    <cellStyle name="SAPBEXexcGood3 4 2 2" xfId="50838" xr:uid="{00000000-0005-0000-0000-0000D2BA0000}"/>
    <cellStyle name="SAPBEXexcGood3 4 2 3" xfId="50663" xr:uid="{00000000-0005-0000-0000-0000D3BA0000}"/>
    <cellStyle name="SAPBEXexcGood3 4 3" xfId="50540" xr:uid="{00000000-0005-0000-0000-0000D4BA0000}"/>
    <cellStyle name="SAPBEXexcGood3 4 4" xfId="51456" xr:uid="{00000000-0005-0000-0000-0000D5BA0000}"/>
    <cellStyle name="SAPBEXexcGood3 4 5" xfId="49507" xr:uid="{00000000-0005-0000-0000-0000D6BA0000}"/>
    <cellStyle name="SAPBEXexcGood3 5" xfId="45938" xr:uid="{00000000-0005-0000-0000-0000D7BA0000}"/>
    <cellStyle name="SAPBEXexcGood3 5 2" xfId="50412" xr:uid="{00000000-0005-0000-0000-0000D8BA0000}"/>
    <cellStyle name="SAPBEXexcGood3 5 3" xfId="51516" xr:uid="{00000000-0005-0000-0000-0000D9BA0000}"/>
    <cellStyle name="SAPBEXexcGood3 5 4" xfId="49662" xr:uid="{00000000-0005-0000-0000-0000DABA0000}"/>
    <cellStyle name="SAPBEXexcGood3 6" xfId="45939" xr:uid="{00000000-0005-0000-0000-0000DBBA0000}"/>
    <cellStyle name="SAPBEXexcGood3 6 2" xfId="51066" xr:uid="{00000000-0005-0000-0000-0000DCBA0000}"/>
    <cellStyle name="SAPBEXexcGood3 6 3" xfId="51417" xr:uid="{00000000-0005-0000-0000-0000DDBA0000}"/>
    <cellStyle name="SAPBEXexcGood3 6 4" xfId="50021" xr:uid="{00000000-0005-0000-0000-0000DEBA0000}"/>
    <cellStyle name="SAPBEXexcGood3 7" xfId="45940" xr:uid="{00000000-0005-0000-0000-0000DFBA0000}"/>
    <cellStyle name="SAPBEXexcGood3 7 2" xfId="50734" xr:uid="{00000000-0005-0000-0000-0000E0BA0000}"/>
    <cellStyle name="SAPBEXexcGood3 8" xfId="45941" xr:uid="{00000000-0005-0000-0000-0000E1BA0000}"/>
    <cellStyle name="SAPBEXexcGood3 8 2" xfId="51661" xr:uid="{00000000-0005-0000-0000-0000E2BA0000}"/>
    <cellStyle name="SAPBEXexcGood3 9" xfId="45942" xr:uid="{00000000-0005-0000-0000-0000E3BA0000}"/>
    <cellStyle name="SAPBEXexcGood3 9 2" xfId="50925"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2" xr:uid="{00000000-0005-0000-0000-0000E8BA0000}"/>
    <cellStyle name="SAPBEXfilterDrill 2 2 2" xfId="50163" xr:uid="{00000000-0005-0000-0000-0000E9BA0000}"/>
    <cellStyle name="SAPBEXfilterDrill 2 2 3" xfId="51570" xr:uid="{00000000-0005-0000-0000-0000EABA0000}"/>
    <cellStyle name="SAPBEXfilterDrill 2 3" xfId="50523" xr:uid="{00000000-0005-0000-0000-0000EBBA0000}"/>
    <cellStyle name="SAPBEXfilterDrill 2 4" xfId="51361" xr:uid="{00000000-0005-0000-0000-0000ECBA0000}"/>
    <cellStyle name="SAPBEXfilterDrill 2 5" xfId="49524" xr:uid="{00000000-0005-0000-0000-0000EDBA0000}"/>
    <cellStyle name="SAPBEXfilterDrill 3" xfId="49444" xr:uid="{00000000-0005-0000-0000-0000EEBA0000}"/>
    <cellStyle name="SAPBEXfilterDrill 3 2" xfId="49772" xr:uid="{00000000-0005-0000-0000-0000EFBA0000}"/>
    <cellStyle name="SAPBEXfilterDrill 3 2 2" xfId="50233" xr:uid="{00000000-0005-0000-0000-0000F0BA0000}"/>
    <cellStyle name="SAPBEXfilterDrill 3 2 3" xfId="51622" xr:uid="{00000000-0005-0000-0000-0000F1BA0000}"/>
    <cellStyle name="SAPBEXfilterDrill 3 3" xfId="50602" xr:uid="{00000000-0005-0000-0000-0000F2BA0000}"/>
    <cellStyle name="SAPBEXfilterDrill 3 4" xfId="51655" xr:uid="{00000000-0005-0000-0000-0000F3BA0000}"/>
    <cellStyle name="SAPBEXfilterDrill 4" xfId="49663" xr:uid="{00000000-0005-0000-0000-0000F4BA0000}"/>
    <cellStyle name="SAPBEXfilterDrill 4 2" xfId="50411" xr:uid="{00000000-0005-0000-0000-0000F5BA0000}"/>
    <cellStyle name="SAPBEXfilterDrill 4 3" xfId="51179" xr:uid="{00000000-0005-0000-0000-0000F6BA0000}"/>
    <cellStyle name="SAPBEXfilterDrill 5" xfId="50020" xr:uid="{00000000-0005-0000-0000-0000F7BA0000}"/>
    <cellStyle name="SAPBEXfilterDrill 5 2" xfId="51065" xr:uid="{00000000-0005-0000-0000-0000F8BA0000}"/>
    <cellStyle name="SAPBEXfilterDrill 5 3" xfId="51594" xr:uid="{00000000-0005-0000-0000-0000F9BA0000}"/>
    <cellStyle name="SAPBEXfilterDrill 6" xfId="50733" xr:uid="{00000000-0005-0000-0000-0000FABA0000}"/>
    <cellStyle name="SAPBEXfilterDrill 7" xfId="51218" xr:uid="{00000000-0005-0000-0000-0000FBBA0000}"/>
    <cellStyle name="SAPBEXfilterDrill 8" xfId="49280"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3" xr:uid="{00000000-0005-0000-0000-000000BB0000}"/>
    <cellStyle name="SAPBEXfilterItem 2 2 2" xfId="50162" xr:uid="{00000000-0005-0000-0000-000001BB0000}"/>
    <cellStyle name="SAPBEXfilterItem 2 2 3" xfId="51400" xr:uid="{00000000-0005-0000-0000-000002BB0000}"/>
    <cellStyle name="SAPBEXfilterItem 2 3" xfId="50522" xr:uid="{00000000-0005-0000-0000-000003BB0000}"/>
    <cellStyle name="SAPBEXfilterItem 2 4" xfId="51645" xr:uid="{00000000-0005-0000-0000-000004BB0000}"/>
    <cellStyle name="SAPBEXfilterItem 2 5" xfId="49525" xr:uid="{00000000-0005-0000-0000-000005BB0000}"/>
    <cellStyle name="SAPBEXfilterItem 3" xfId="49443" xr:uid="{00000000-0005-0000-0000-000006BB0000}"/>
    <cellStyle name="SAPBEXfilterItem 3 2" xfId="49771" xr:uid="{00000000-0005-0000-0000-000007BB0000}"/>
    <cellStyle name="SAPBEXfilterItem 3 2 2" xfId="50234" xr:uid="{00000000-0005-0000-0000-000008BB0000}"/>
    <cellStyle name="SAPBEXfilterItem 3 2 3" xfId="51391" xr:uid="{00000000-0005-0000-0000-000009BB0000}"/>
    <cellStyle name="SAPBEXfilterItem 3 3" xfId="50603" xr:uid="{00000000-0005-0000-0000-00000ABB0000}"/>
    <cellStyle name="SAPBEXfilterItem 3 4" xfId="51350" xr:uid="{00000000-0005-0000-0000-00000BBB0000}"/>
    <cellStyle name="SAPBEXfilterItem 4" xfId="49664" xr:uid="{00000000-0005-0000-0000-00000CBB0000}"/>
    <cellStyle name="SAPBEXfilterItem 4 2" xfId="50410" xr:uid="{00000000-0005-0000-0000-00000DBB0000}"/>
    <cellStyle name="SAPBEXfilterItem 4 3" xfId="51438" xr:uid="{00000000-0005-0000-0000-00000EBB0000}"/>
    <cellStyle name="SAPBEXfilterItem 5" xfId="50019" xr:uid="{00000000-0005-0000-0000-00000FBB0000}"/>
    <cellStyle name="SAPBEXfilterItem 5 2" xfId="51064" xr:uid="{00000000-0005-0000-0000-000010BB0000}"/>
    <cellStyle name="SAPBEXfilterItem 5 3" xfId="51339" xr:uid="{00000000-0005-0000-0000-000011BB0000}"/>
    <cellStyle name="SAPBEXfilterItem 6" xfId="50732" xr:uid="{00000000-0005-0000-0000-000012BB0000}"/>
    <cellStyle name="SAPBEXfilterItem 7" xfId="51475" xr:uid="{00000000-0005-0000-0000-000013BB0000}"/>
    <cellStyle name="SAPBEXfilterItem 8" xfId="49281"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4" xr:uid="{00000000-0005-0000-0000-000018BB0000}"/>
    <cellStyle name="SAPBEXfilterText 2 2 2" xfId="50161" xr:uid="{00000000-0005-0000-0000-000019BB0000}"/>
    <cellStyle name="SAPBEXfilterText 2 2 3" xfId="51618" xr:uid="{00000000-0005-0000-0000-00001ABB0000}"/>
    <cellStyle name="SAPBEXfilterText 2 3" xfId="50521" xr:uid="{00000000-0005-0000-0000-00001BBB0000}"/>
    <cellStyle name="SAPBEXfilterText 2 4" xfId="51242" xr:uid="{00000000-0005-0000-0000-00001CBB0000}"/>
    <cellStyle name="SAPBEXfilterText 2 5" xfId="49526" xr:uid="{00000000-0005-0000-0000-00001DBB0000}"/>
    <cellStyle name="SAPBEXfilterText 3" xfId="49442" xr:uid="{00000000-0005-0000-0000-00001EBB0000}"/>
    <cellStyle name="SAPBEXfilterText 3 2" xfId="49770" xr:uid="{00000000-0005-0000-0000-00001FBB0000}"/>
    <cellStyle name="SAPBEXfilterText 3 2 2" xfId="50235" xr:uid="{00000000-0005-0000-0000-000020BB0000}"/>
    <cellStyle name="SAPBEXfilterText 3 2 3" xfId="51427" xr:uid="{00000000-0005-0000-0000-000021BB0000}"/>
    <cellStyle name="SAPBEXfilterText 3 3" xfId="50604" xr:uid="{00000000-0005-0000-0000-000022BB0000}"/>
    <cellStyle name="SAPBEXfilterText 3 4" xfId="51480" xr:uid="{00000000-0005-0000-0000-000023BB0000}"/>
    <cellStyle name="SAPBEXfilterText 4" xfId="49665" xr:uid="{00000000-0005-0000-0000-000024BB0000}"/>
    <cellStyle name="SAPBEXfilterText 4 2" xfId="50409" xr:uid="{00000000-0005-0000-0000-000025BB0000}"/>
    <cellStyle name="SAPBEXfilterText 4 3" xfId="51377" xr:uid="{00000000-0005-0000-0000-000026BB0000}"/>
    <cellStyle name="SAPBEXfilterText 5" xfId="50018" xr:uid="{00000000-0005-0000-0000-000027BB0000}"/>
    <cellStyle name="SAPBEXfilterText 5 2" xfId="51063" xr:uid="{00000000-0005-0000-0000-000028BB0000}"/>
    <cellStyle name="SAPBEXfilterText 5 3" xfId="51587" xr:uid="{00000000-0005-0000-0000-000029BB0000}"/>
    <cellStyle name="SAPBEXfilterText 6" xfId="50731" xr:uid="{00000000-0005-0000-0000-00002ABB0000}"/>
    <cellStyle name="SAPBEXfilterText 7" xfId="50983" xr:uid="{00000000-0005-0000-0000-00002BBB0000}"/>
    <cellStyle name="SAPBEXfilterText 8" xfId="49282"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60" xr:uid="{00000000-0005-0000-0000-00003BBB0000}"/>
    <cellStyle name="SAPBEXformats 2 2 3" xfId="50953" xr:uid="{00000000-0005-0000-0000-00003CBB0000}"/>
    <cellStyle name="SAPBEXformats 2 2 4" xfId="49855" xr:uid="{00000000-0005-0000-0000-00003DBB0000}"/>
    <cellStyle name="SAPBEXformats 2 3" xfId="45962" xr:uid="{00000000-0005-0000-0000-00003EBB0000}"/>
    <cellStyle name="SAPBEXformats 2 3 2" xfId="50520" xr:uid="{00000000-0005-0000-0000-00003FBB0000}"/>
    <cellStyle name="SAPBEXformats 2 4" xfId="51499" xr:uid="{00000000-0005-0000-0000-000040BB0000}"/>
    <cellStyle name="SAPBEXformats 2 5" xfId="49527"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9" xr:uid="{00000000-0005-0000-0000-00004DBB0000}"/>
    <cellStyle name="SAPBEXformats 3 2 2" xfId="50236" xr:uid="{00000000-0005-0000-0000-00004EBB0000}"/>
    <cellStyle name="SAPBEXformats 3 2 3" xfId="51167" xr:uid="{00000000-0005-0000-0000-00004FBB0000}"/>
    <cellStyle name="SAPBEXformats 3 3" xfId="50605" xr:uid="{00000000-0005-0000-0000-000050BB0000}"/>
    <cellStyle name="SAPBEXformats 3 4" xfId="51224" xr:uid="{00000000-0005-0000-0000-000051BB0000}"/>
    <cellStyle name="SAPBEXformats 3 5" xfId="49441"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3" xr:uid="{00000000-0005-0000-0000-000056BB0000}"/>
    <cellStyle name="SAPBEXformats 4" xfId="45977" xr:uid="{00000000-0005-0000-0000-000057BB0000}"/>
    <cellStyle name="SAPBEXformats 4 2" xfId="49836" xr:uid="{00000000-0005-0000-0000-000058BB0000}"/>
    <cellStyle name="SAPBEXformats 4 2 2" xfId="50851" xr:uid="{00000000-0005-0000-0000-000059BB0000}"/>
    <cellStyle name="SAPBEXformats 4 2 3" xfId="50780" xr:uid="{00000000-0005-0000-0000-00005ABB0000}"/>
    <cellStyle name="SAPBEXformats 4 3" xfId="50539" xr:uid="{00000000-0005-0000-0000-00005BBB0000}"/>
    <cellStyle name="SAPBEXformats 4 4" xfId="51358" xr:uid="{00000000-0005-0000-0000-00005CBB0000}"/>
    <cellStyle name="SAPBEXformats 4 5" xfId="49508" xr:uid="{00000000-0005-0000-0000-00005DBB0000}"/>
    <cellStyle name="SAPBEXformats 5" xfId="45978" xr:uid="{00000000-0005-0000-0000-00005EBB0000}"/>
    <cellStyle name="SAPBEXformats 5 2" xfId="50408" xr:uid="{00000000-0005-0000-0000-00005FBB0000}"/>
    <cellStyle name="SAPBEXformats 5 3" xfId="51632" xr:uid="{00000000-0005-0000-0000-000060BB0000}"/>
    <cellStyle name="SAPBEXformats 5 4" xfId="49666" xr:uid="{00000000-0005-0000-0000-000061BB0000}"/>
    <cellStyle name="SAPBEXformats 6" xfId="45979" xr:uid="{00000000-0005-0000-0000-000062BB0000}"/>
    <cellStyle name="SAPBEXformats 6 2" xfId="51062" xr:uid="{00000000-0005-0000-0000-000063BB0000}"/>
    <cellStyle name="SAPBEXformats 6 3" xfId="51330" xr:uid="{00000000-0005-0000-0000-000064BB0000}"/>
    <cellStyle name="SAPBEXformats 6 4" xfId="50017" xr:uid="{00000000-0005-0000-0000-000065BB0000}"/>
    <cellStyle name="SAPBEXformats 7" xfId="45980" xr:uid="{00000000-0005-0000-0000-000066BB0000}"/>
    <cellStyle name="SAPBEXformats 7 2" xfId="50730" xr:uid="{00000000-0005-0000-0000-000067BB0000}"/>
    <cellStyle name="SAPBEXformats 8" xfId="45981" xr:uid="{00000000-0005-0000-0000-000068BB0000}"/>
    <cellStyle name="SAPBEXformats 8 2" xfId="51220" xr:uid="{00000000-0005-0000-0000-000069BB0000}"/>
    <cellStyle name="SAPBEXformats 9" xfId="45982" xr:uid="{00000000-0005-0000-0000-00006ABB0000}"/>
    <cellStyle name="SAPBEXformats 9 2" xfId="50783"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8" xr:uid="{00000000-0005-0000-0000-00006FBB0000}"/>
    <cellStyle name="SAPBEXheaderItem 3 2" xfId="49856" xr:uid="{00000000-0005-0000-0000-000070BB0000}"/>
    <cellStyle name="SAPBEXheaderItem 3 2 2" xfId="50159" xr:uid="{00000000-0005-0000-0000-000071BB0000}"/>
    <cellStyle name="SAPBEXheaderItem 3 2 3" xfId="51282" xr:uid="{00000000-0005-0000-0000-000072BB0000}"/>
    <cellStyle name="SAPBEXheaderItem 3 3" xfId="50519" xr:uid="{00000000-0005-0000-0000-000073BB0000}"/>
    <cellStyle name="SAPBEXheaderItem 3 4" xfId="51196" xr:uid="{00000000-0005-0000-0000-000074BB0000}"/>
    <cellStyle name="SAPBEXheaderItem 4" xfId="49440" xr:uid="{00000000-0005-0000-0000-000075BB0000}"/>
    <cellStyle name="SAPBEXheaderItem 4 2" xfId="49768" xr:uid="{00000000-0005-0000-0000-000076BB0000}"/>
    <cellStyle name="SAPBEXheaderItem 4 2 2" xfId="50237" xr:uid="{00000000-0005-0000-0000-000077BB0000}"/>
    <cellStyle name="SAPBEXheaderItem 4 2 3" xfId="51530" xr:uid="{00000000-0005-0000-0000-000078BB0000}"/>
    <cellStyle name="SAPBEXheaderItem 4 3" xfId="50606" xr:uid="{00000000-0005-0000-0000-000079BB0000}"/>
    <cellStyle name="SAPBEXheaderItem 4 4" xfId="51464" xr:uid="{00000000-0005-0000-0000-00007ABB0000}"/>
    <cellStyle name="SAPBEXheaderItem 5" xfId="49667" xr:uid="{00000000-0005-0000-0000-00007BBB0000}"/>
    <cellStyle name="SAPBEXheaderItem 5 2" xfId="50407" xr:uid="{00000000-0005-0000-0000-00007CBB0000}"/>
    <cellStyle name="SAPBEXheaderItem 5 3" xfId="50978" xr:uid="{00000000-0005-0000-0000-00007DBB0000}"/>
    <cellStyle name="SAPBEXheaderItem 6" xfId="50016" xr:uid="{00000000-0005-0000-0000-00007EBB0000}"/>
    <cellStyle name="SAPBEXheaderItem 6 2" xfId="51061" xr:uid="{00000000-0005-0000-0000-00007FBB0000}"/>
    <cellStyle name="SAPBEXheaderItem 6 3" xfId="51557" xr:uid="{00000000-0005-0000-0000-000080BB0000}"/>
    <cellStyle name="SAPBEXheaderItem 7" xfId="50729" xr:uid="{00000000-0005-0000-0000-000081BB0000}"/>
    <cellStyle name="SAPBEXheaderItem 8" xfId="51477" xr:uid="{00000000-0005-0000-0000-000082BB0000}"/>
    <cellStyle name="SAPBEXheaderItem 9" xfId="49284"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9" xr:uid="{00000000-0005-0000-0000-000087BB0000}"/>
    <cellStyle name="SAPBEXheaderText 3 2" xfId="49857" xr:uid="{00000000-0005-0000-0000-000088BB0000}"/>
    <cellStyle name="SAPBEXheaderText 3 2 2" xfId="50071" xr:uid="{00000000-0005-0000-0000-000089BB0000}"/>
    <cellStyle name="SAPBEXheaderText 3 2 3" xfId="51540" xr:uid="{00000000-0005-0000-0000-00008ABB0000}"/>
    <cellStyle name="SAPBEXheaderText 3 3" xfId="50518" xr:uid="{00000000-0005-0000-0000-00008BBB0000}"/>
    <cellStyle name="SAPBEXheaderText 3 4" xfId="51454" xr:uid="{00000000-0005-0000-0000-00008CBB0000}"/>
    <cellStyle name="SAPBEXheaderText 4" xfId="49439" xr:uid="{00000000-0005-0000-0000-00008DBB0000}"/>
    <cellStyle name="SAPBEXheaderText 4 2" xfId="49767" xr:uid="{00000000-0005-0000-0000-00008EBB0000}"/>
    <cellStyle name="SAPBEXheaderText 4 2 2" xfId="50238" xr:uid="{00000000-0005-0000-0000-00008FBB0000}"/>
    <cellStyle name="SAPBEXheaderText 4 2 3" xfId="51272" xr:uid="{00000000-0005-0000-0000-000090BB0000}"/>
    <cellStyle name="SAPBEXheaderText 4 3" xfId="50607" xr:uid="{00000000-0005-0000-0000-000091BB0000}"/>
    <cellStyle name="SAPBEXheaderText 4 4" xfId="51206" xr:uid="{00000000-0005-0000-0000-000092BB0000}"/>
    <cellStyle name="SAPBEXheaderText 5" xfId="49668" xr:uid="{00000000-0005-0000-0000-000093BB0000}"/>
    <cellStyle name="SAPBEXheaderText 5 2" xfId="50406" xr:uid="{00000000-0005-0000-0000-000094BB0000}"/>
    <cellStyle name="SAPBEXheaderText 5 3" xfId="51260" xr:uid="{00000000-0005-0000-0000-000095BB0000}"/>
    <cellStyle name="SAPBEXheaderText 6" xfId="50015" xr:uid="{00000000-0005-0000-0000-000096BB0000}"/>
    <cellStyle name="SAPBEXheaderText 6 2" xfId="51060" xr:uid="{00000000-0005-0000-0000-000097BB0000}"/>
    <cellStyle name="SAPBEXheaderText 6 3" xfId="51299" xr:uid="{00000000-0005-0000-0000-000098BB0000}"/>
    <cellStyle name="SAPBEXheaderText 7" xfId="50728" xr:uid="{00000000-0005-0000-0000-000099BB0000}"/>
    <cellStyle name="SAPBEXheaderText 8" xfId="51344" xr:uid="{00000000-0005-0000-0000-00009ABB0000}"/>
    <cellStyle name="SAPBEXheaderText 9" xfId="49285"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5"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8" xr:uid="{00000000-0005-0000-0000-0000B6BB0000}"/>
    <cellStyle name="SAPBEXHLevel0 2 2 2 3" xfId="51571" xr:uid="{00000000-0005-0000-0000-0000B7BB0000}"/>
    <cellStyle name="SAPBEXHLevel0 2 2 2 4" xfId="49859" xr:uid="{00000000-0005-0000-0000-0000B8BB0000}"/>
    <cellStyle name="SAPBEXHLevel0 2 2 3" xfId="46011" xr:uid="{00000000-0005-0000-0000-0000B9BB0000}"/>
    <cellStyle name="SAPBEXHLevel0 2 2 3 2" xfId="50516" xr:uid="{00000000-0005-0000-0000-0000BABB0000}"/>
    <cellStyle name="SAPBEXHLevel0 2 2 4" xfId="51484" xr:uid="{00000000-0005-0000-0000-0000BBBB0000}"/>
    <cellStyle name="SAPBEXHLevel0 2 2 5" xfId="49531"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40" xr:uid="{00000000-0005-0000-0000-0000C9BB0000}"/>
    <cellStyle name="SAPBEXHLevel0 2 3 2 3" xfId="51623" xr:uid="{00000000-0005-0000-0000-0000CABB0000}"/>
    <cellStyle name="SAPBEXHLevel0 2 3 2 4" xfId="49765" xr:uid="{00000000-0005-0000-0000-0000CBBB0000}"/>
    <cellStyle name="SAPBEXHLevel0 2 3 3" xfId="50609" xr:uid="{00000000-0005-0000-0000-0000CCBB0000}"/>
    <cellStyle name="SAPBEXHLevel0 2 3 4" xfId="51232" xr:uid="{00000000-0005-0000-0000-0000CDBB0000}"/>
    <cellStyle name="SAPBEXHLevel0 2 3 5" xfId="49437"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7" xr:uid="{00000000-0005-0000-0000-0000D2BB0000}"/>
    <cellStyle name="SAPBEXHLevel0 2 4" xfId="46027" xr:uid="{00000000-0005-0000-0000-0000D3BB0000}"/>
    <cellStyle name="SAPBEXHLevel0 2 4 2" xfId="46028" xr:uid="{00000000-0005-0000-0000-0000D4BB0000}"/>
    <cellStyle name="SAPBEXHLevel0 2 4 2 2" xfId="50404" xr:uid="{00000000-0005-0000-0000-0000D5BB0000}"/>
    <cellStyle name="SAPBEXHLevel0 2 4 3" xfId="51306" xr:uid="{00000000-0005-0000-0000-0000D6BB0000}"/>
    <cellStyle name="SAPBEXHLevel0 2 4 4" xfId="49670" xr:uid="{00000000-0005-0000-0000-0000D7BB0000}"/>
    <cellStyle name="SAPBEXHLevel0 2 5" xfId="46029" xr:uid="{00000000-0005-0000-0000-0000D8BB0000}"/>
    <cellStyle name="SAPBEXHLevel0 2 5 2" xfId="46030" xr:uid="{00000000-0005-0000-0000-0000D9BB0000}"/>
    <cellStyle name="SAPBEXHLevel0 2 5 2 2" xfId="51058" xr:uid="{00000000-0005-0000-0000-0000DABB0000}"/>
    <cellStyle name="SAPBEXHLevel0 2 5 3" xfId="51124" xr:uid="{00000000-0005-0000-0000-0000DBBB0000}"/>
    <cellStyle name="SAPBEXHLevel0 2 5 4" xfId="50013" xr:uid="{00000000-0005-0000-0000-0000DCBB0000}"/>
    <cellStyle name="SAPBEXHLevel0 2 6" xfId="46031" xr:uid="{00000000-0005-0000-0000-0000DDBB0000}"/>
    <cellStyle name="SAPBEXHLevel0 2 6 2" xfId="46032" xr:uid="{00000000-0005-0000-0000-0000DEBB0000}"/>
    <cellStyle name="SAPBEXHLevel0 2 6 3" xfId="50726" xr:uid="{00000000-0005-0000-0000-0000DFBB0000}"/>
    <cellStyle name="SAPBEXHLevel0 2 7" xfId="46033" xr:uid="{00000000-0005-0000-0000-0000E0BB0000}"/>
    <cellStyle name="SAPBEXHLevel0 2 7 2" xfId="46034" xr:uid="{00000000-0005-0000-0000-0000E1BB0000}"/>
    <cellStyle name="SAPBEXHLevel0 2 7 3" xfId="51478"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3" xr:uid="{00000000-0005-0000-0000-0000F2BB0000}"/>
    <cellStyle name="SAPBEXHLevel0 3 2 3" xfId="51314" xr:uid="{00000000-0005-0000-0000-0000F3BB0000}"/>
    <cellStyle name="SAPBEXHLevel0 3 2 4" xfId="49858" xr:uid="{00000000-0005-0000-0000-0000F4BB0000}"/>
    <cellStyle name="SAPBEXHLevel0 3 3" xfId="46050" xr:uid="{00000000-0005-0000-0000-0000F5BB0000}"/>
    <cellStyle name="SAPBEXHLevel0 3 3 2" xfId="50517" xr:uid="{00000000-0005-0000-0000-0000F6BB0000}"/>
    <cellStyle name="SAPBEXHLevel0 3 4" xfId="51228" xr:uid="{00000000-0005-0000-0000-0000F7BB0000}"/>
    <cellStyle name="SAPBEXHLevel0 3 5" xfId="49530"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6" xr:uid="{00000000-0005-0000-0000-0000FDBB0000}"/>
    <cellStyle name="SAPBEXHLevel0 4" xfId="46055" xr:uid="{00000000-0005-0000-0000-0000FEBB0000}"/>
    <cellStyle name="SAPBEXHLevel0 4 2" xfId="46056" xr:uid="{00000000-0005-0000-0000-0000FFBB0000}"/>
    <cellStyle name="SAPBEXHLevel0 4 2 2" xfId="50239" xr:uid="{00000000-0005-0000-0000-000000BC0000}"/>
    <cellStyle name="SAPBEXHLevel0 4 2 3" xfId="50818" xr:uid="{00000000-0005-0000-0000-000001BC0000}"/>
    <cellStyle name="SAPBEXHLevel0 4 2 4" xfId="49766" xr:uid="{00000000-0005-0000-0000-000002BC0000}"/>
    <cellStyle name="SAPBEXHLevel0 4 3" xfId="50608" xr:uid="{00000000-0005-0000-0000-000003BC0000}"/>
    <cellStyle name="SAPBEXHLevel0 4 4" xfId="51489" xr:uid="{00000000-0005-0000-0000-000004BC0000}"/>
    <cellStyle name="SAPBEXHLevel0 4 5" xfId="49438" xr:uid="{00000000-0005-0000-0000-000005BC0000}"/>
    <cellStyle name="SAPBEXHLevel0 5" xfId="46057" xr:uid="{00000000-0005-0000-0000-000006BC0000}"/>
    <cellStyle name="SAPBEXHLevel0 5 2" xfId="46058" xr:uid="{00000000-0005-0000-0000-000007BC0000}"/>
    <cellStyle name="SAPBEXHLevel0 5 2 2" xfId="50837" xr:uid="{00000000-0005-0000-0000-000008BC0000}"/>
    <cellStyle name="SAPBEXHLevel0 5 2 3" xfId="50751" xr:uid="{00000000-0005-0000-0000-000009BC0000}"/>
    <cellStyle name="SAPBEXHLevel0 5 2 4" xfId="49837" xr:uid="{00000000-0005-0000-0000-00000ABC0000}"/>
    <cellStyle name="SAPBEXHLevel0 5 3" xfId="50538" xr:uid="{00000000-0005-0000-0000-00000BBC0000}"/>
    <cellStyle name="SAPBEXHLevel0 5 4" xfId="51648" xr:uid="{00000000-0005-0000-0000-00000CBC0000}"/>
    <cellStyle name="SAPBEXHLevel0 5 5" xfId="49509" xr:uid="{00000000-0005-0000-0000-00000DBC0000}"/>
    <cellStyle name="SAPBEXHLevel0 6" xfId="46059" xr:uid="{00000000-0005-0000-0000-00000EBC0000}"/>
    <cellStyle name="SAPBEXHLevel0 6 2" xfId="46060" xr:uid="{00000000-0005-0000-0000-00000FBC0000}"/>
    <cellStyle name="SAPBEXHLevel0 6 2 2" xfId="50405" xr:uid="{00000000-0005-0000-0000-000010BC0000}"/>
    <cellStyle name="SAPBEXHLevel0 6 3" xfId="51517" xr:uid="{00000000-0005-0000-0000-000011BC0000}"/>
    <cellStyle name="SAPBEXHLevel0 6 4" xfId="49669" xr:uid="{00000000-0005-0000-0000-000012BC0000}"/>
    <cellStyle name="SAPBEXHLevel0 7" xfId="46061" xr:uid="{00000000-0005-0000-0000-000013BC0000}"/>
    <cellStyle name="SAPBEXHLevel0 7 2" xfId="46062" xr:uid="{00000000-0005-0000-0000-000014BC0000}"/>
    <cellStyle name="SAPBEXHLevel0 7 2 2" xfId="51059" xr:uid="{00000000-0005-0000-0000-000015BC0000}"/>
    <cellStyle name="SAPBEXHLevel0 7 3" xfId="51125" xr:uid="{00000000-0005-0000-0000-000016BC0000}"/>
    <cellStyle name="SAPBEXHLevel0 7 4" xfId="50014" xr:uid="{00000000-0005-0000-0000-000017BC0000}"/>
    <cellStyle name="SAPBEXHLevel0 8" xfId="46063" xr:uid="{00000000-0005-0000-0000-000018BC0000}"/>
    <cellStyle name="SAPBEXHLevel0 8 2" xfId="46064" xr:uid="{00000000-0005-0000-0000-000019BC0000}"/>
    <cellStyle name="SAPBEXHLevel0 8 3" xfId="50727" xr:uid="{00000000-0005-0000-0000-00001ABC0000}"/>
    <cellStyle name="SAPBEXHLevel0 9" xfId="46065" xr:uid="{00000000-0005-0000-0000-00001BBC0000}"/>
    <cellStyle name="SAPBEXHLevel0 9 2" xfId="46066" xr:uid="{00000000-0005-0000-0000-00001CBC0000}"/>
    <cellStyle name="SAPBEXHLevel0 9 3" xfId="51221"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6" xr:uid="{00000000-0005-0000-0000-000037BC0000}"/>
    <cellStyle name="SAPBEXHLevel0X 2 2 2 3" xfId="51617" xr:uid="{00000000-0005-0000-0000-000038BC0000}"/>
    <cellStyle name="SAPBEXHLevel0X 2 2 2 4" xfId="49861" xr:uid="{00000000-0005-0000-0000-000039BC0000}"/>
    <cellStyle name="SAPBEXHLevel0X 2 2 3" xfId="46091" xr:uid="{00000000-0005-0000-0000-00003ABC0000}"/>
    <cellStyle name="SAPBEXHLevel0X 2 2 3 2" xfId="50514" xr:uid="{00000000-0005-0000-0000-00003BBC0000}"/>
    <cellStyle name="SAPBEXHLevel0X 2 2 4" xfId="51646" xr:uid="{00000000-0005-0000-0000-00003CBC0000}"/>
    <cellStyle name="SAPBEXHLevel0X 2 2 5" xfId="49533"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2" xr:uid="{00000000-0005-0000-0000-00004ABC0000}"/>
    <cellStyle name="SAPBEXHLevel0X 2 3 2 3" xfId="51428" xr:uid="{00000000-0005-0000-0000-00004BBC0000}"/>
    <cellStyle name="SAPBEXHLevel0X 2 3 2 4" xfId="49763" xr:uid="{00000000-0005-0000-0000-00004CBC0000}"/>
    <cellStyle name="SAPBEXHLevel0X 2 3 3" xfId="50611" xr:uid="{00000000-0005-0000-0000-00004DBC0000}"/>
    <cellStyle name="SAPBEXHLevel0X 2 3 4" xfId="51656" xr:uid="{00000000-0005-0000-0000-00004EBC0000}"/>
    <cellStyle name="SAPBEXHLevel0X 2 3 5" xfId="49435"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9" xr:uid="{00000000-0005-0000-0000-000053BC0000}"/>
    <cellStyle name="SAPBEXHLevel0X 2 4" xfId="46107" xr:uid="{00000000-0005-0000-0000-000054BC0000}"/>
    <cellStyle name="SAPBEXHLevel0X 2 4 2" xfId="46108" xr:uid="{00000000-0005-0000-0000-000055BC0000}"/>
    <cellStyle name="SAPBEXHLevel0X 2 4 2 2" xfId="50402" xr:uid="{00000000-0005-0000-0000-000056BC0000}"/>
    <cellStyle name="SAPBEXHLevel0X 2 4 3" xfId="51378" xr:uid="{00000000-0005-0000-0000-000057BC0000}"/>
    <cellStyle name="SAPBEXHLevel0X 2 4 4" xfId="49672" xr:uid="{00000000-0005-0000-0000-000058BC0000}"/>
    <cellStyle name="SAPBEXHLevel0X 2 5" xfId="46109" xr:uid="{00000000-0005-0000-0000-000059BC0000}"/>
    <cellStyle name="SAPBEXHLevel0X 2 5 2" xfId="46110" xr:uid="{00000000-0005-0000-0000-00005ABC0000}"/>
    <cellStyle name="SAPBEXHLevel0X 2 5 2 2" xfId="51056" xr:uid="{00000000-0005-0000-0000-00005BBC0000}"/>
    <cellStyle name="SAPBEXHLevel0X 2 5 3" xfId="51416" xr:uid="{00000000-0005-0000-0000-00005CBC0000}"/>
    <cellStyle name="SAPBEXHLevel0X 2 5 4" xfId="50011" xr:uid="{00000000-0005-0000-0000-00005DBC0000}"/>
    <cellStyle name="SAPBEXHLevel0X 2 6" xfId="46111" xr:uid="{00000000-0005-0000-0000-00005EBC0000}"/>
    <cellStyle name="SAPBEXHLevel0X 2 6 2" xfId="46112" xr:uid="{00000000-0005-0000-0000-00005FBC0000}"/>
    <cellStyle name="SAPBEXHLevel0X 2 6 3" xfId="50724" xr:uid="{00000000-0005-0000-0000-000060BC0000}"/>
    <cellStyle name="SAPBEXHLevel0X 2 7" xfId="46113" xr:uid="{00000000-0005-0000-0000-000061BC0000}"/>
    <cellStyle name="SAPBEXHLevel0X 2 7 2" xfId="46114" xr:uid="{00000000-0005-0000-0000-000062BC0000}"/>
    <cellStyle name="SAPBEXHLevel0X 2 7 3" xfId="51345"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4" xr:uid="{00000000-0005-0000-0000-000072BC0000}"/>
    <cellStyle name="SAPBEXHLevel0X 3 10 2" xfId="49762" xr:uid="{00000000-0005-0000-0000-000073BC0000}"/>
    <cellStyle name="SAPBEXHLevel0X 3 10 2 2" xfId="50243" xr:uid="{00000000-0005-0000-0000-000074BC0000}"/>
    <cellStyle name="SAPBEXHLevel0X 3 10 2 3" xfId="51168" xr:uid="{00000000-0005-0000-0000-000075BC0000}"/>
    <cellStyle name="SAPBEXHLevel0X 3 10 3" xfId="50612" xr:uid="{00000000-0005-0000-0000-000076BC0000}"/>
    <cellStyle name="SAPBEXHLevel0X 3 10 4" xfId="51349" xr:uid="{00000000-0005-0000-0000-000077BC0000}"/>
    <cellStyle name="SAPBEXHLevel0X 3 11" xfId="49673" xr:uid="{00000000-0005-0000-0000-000078BC0000}"/>
    <cellStyle name="SAPBEXHLevel0X 3 11 2" xfId="50401" xr:uid="{00000000-0005-0000-0000-000079BC0000}"/>
    <cellStyle name="SAPBEXHLevel0X 3 11 3" xfId="51631" xr:uid="{00000000-0005-0000-0000-00007ABC0000}"/>
    <cellStyle name="SAPBEXHLevel0X 3 12" xfId="50010" xr:uid="{00000000-0005-0000-0000-00007BBC0000}"/>
    <cellStyle name="SAPBEXHLevel0X 3 12 2" xfId="51055" xr:uid="{00000000-0005-0000-0000-00007CBC0000}"/>
    <cellStyle name="SAPBEXHLevel0X 3 12 3" xfId="51586" xr:uid="{00000000-0005-0000-0000-00007DBC0000}"/>
    <cellStyle name="SAPBEXHLevel0X 3 13" xfId="50723" xr:uid="{00000000-0005-0000-0000-00007EBC0000}"/>
    <cellStyle name="SAPBEXHLevel0X 3 14" xfId="51660" xr:uid="{00000000-0005-0000-0000-00007FBC0000}"/>
    <cellStyle name="SAPBEXHLevel0X 3 15" xfId="49290" xr:uid="{00000000-0005-0000-0000-000080BC0000}"/>
    <cellStyle name="SAPBEXHLevel0X 3 2" xfId="46129" xr:uid="{00000000-0005-0000-0000-000081BC0000}"/>
    <cellStyle name="SAPBEXHLevel0X 3 2 2" xfId="49535" xr:uid="{00000000-0005-0000-0000-000082BC0000}"/>
    <cellStyle name="SAPBEXHLevel0X 3 2 2 2" xfId="49863" xr:uid="{00000000-0005-0000-0000-000083BC0000}"/>
    <cellStyle name="SAPBEXHLevel0X 3 2 2 2 2" xfId="50154" xr:uid="{00000000-0005-0000-0000-000084BC0000}"/>
    <cellStyle name="SAPBEXHLevel0X 3 2 2 2 3" xfId="51283" xr:uid="{00000000-0005-0000-0000-000085BC0000}"/>
    <cellStyle name="SAPBEXHLevel0X 3 2 2 3" xfId="50512" xr:uid="{00000000-0005-0000-0000-000086BC0000}"/>
    <cellStyle name="SAPBEXHLevel0X 3 2 2 4" xfId="50980" xr:uid="{00000000-0005-0000-0000-000087BC0000}"/>
    <cellStyle name="SAPBEXHLevel0X 3 2 3" xfId="49433" xr:uid="{00000000-0005-0000-0000-000088BC0000}"/>
    <cellStyle name="SAPBEXHLevel0X 3 2 3 2" xfId="49761" xr:uid="{00000000-0005-0000-0000-000089BC0000}"/>
    <cellStyle name="SAPBEXHLevel0X 3 2 3 2 2" xfId="50244" xr:uid="{00000000-0005-0000-0000-00008ABC0000}"/>
    <cellStyle name="SAPBEXHLevel0X 3 2 3 2 3" xfId="51529" xr:uid="{00000000-0005-0000-0000-00008BBC0000}"/>
    <cellStyle name="SAPBEXHLevel0X 3 2 3 3" xfId="50613" xr:uid="{00000000-0005-0000-0000-00008CBC0000}"/>
    <cellStyle name="SAPBEXHLevel0X 3 2 3 4" xfId="51565" xr:uid="{00000000-0005-0000-0000-00008DBC0000}"/>
    <cellStyle name="SAPBEXHLevel0X 3 2 4" xfId="49674" xr:uid="{00000000-0005-0000-0000-00008EBC0000}"/>
    <cellStyle name="SAPBEXHLevel0X 3 2 4 2" xfId="50400" xr:uid="{00000000-0005-0000-0000-00008FBC0000}"/>
    <cellStyle name="SAPBEXHLevel0X 3 2 4 3" xfId="50813" xr:uid="{00000000-0005-0000-0000-000090BC0000}"/>
    <cellStyle name="SAPBEXHLevel0X 3 2 5" xfId="50009" xr:uid="{00000000-0005-0000-0000-000091BC0000}"/>
    <cellStyle name="SAPBEXHLevel0X 3 2 5 2" xfId="51054" xr:uid="{00000000-0005-0000-0000-000092BC0000}"/>
    <cellStyle name="SAPBEXHLevel0X 3 2 5 3" xfId="51329" xr:uid="{00000000-0005-0000-0000-000093BC0000}"/>
    <cellStyle name="SAPBEXHLevel0X 3 2 6" xfId="50722" xr:uid="{00000000-0005-0000-0000-000094BC0000}"/>
    <cellStyle name="SAPBEXHLevel0X 3 2 7" xfId="50658" xr:uid="{00000000-0005-0000-0000-000095BC0000}"/>
    <cellStyle name="SAPBEXHLevel0X 3 2 8" xfId="49291" xr:uid="{00000000-0005-0000-0000-000096BC0000}"/>
    <cellStyle name="SAPBEXHLevel0X 3 3" xfId="46130" xr:uid="{00000000-0005-0000-0000-000097BC0000}"/>
    <cellStyle name="SAPBEXHLevel0X 3 3 2" xfId="49536" xr:uid="{00000000-0005-0000-0000-000098BC0000}"/>
    <cellStyle name="SAPBEXHLevel0X 3 3 2 2" xfId="49864" xr:uid="{00000000-0005-0000-0000-000099BC0000}"/>
    <cellStyle name="SAPBEXHLevel0X 3 3 2 2 2" xfId="50153" xr:uid="{00000000-0005-0000-0000-00009ABC0000}"/>
    <cellStyle name="SAPBEXHLevel0X 3 3 2 2 3" xfId="51541" xr:uid="{00000000-0005-0000-0000-00009BBC0000}"/>
    <cellStyle name="SAPBEXHLevel0X 3 3 2 3" xfId="50511" xr:uid="{00000000-0005-0000-0000-00009CBC0000}"/>
    <cellStyle name="SAPBEXHLevel0X 3 3 2 4" xfId="51245" xr:uid="{00000000-0005-0000-0000-00009DBC0000}"/>
    <cellStyle name="SAPBEXHLevel0X 3 3 3" xfId="49432" xr:uid="{00000000-0005-0000-0000-00009EBC0000}"/>
    <cellStyle name="SAPBEXHLevel0X 3 3 3 2" xfId="49760" xr:uid="{00000000-0005-0000-0000-00009FBC0000}"/>
    <cellStyle name="SAPBEXHLevel0X 3 3 3 2 2" xfId="50245" xr:uid="{00000000-0005-0000-0000-0000A0BC0000}"/>
    <cellStyle name="SAPBEXHLevel0X 3 3 3 2 3" xfId="51271" xr:uid="{00000000-0005-0000-0000-0000A1BC0000}"/>
    <cellStyle name="SAPBEXHLevel0X 3 3 3 3" xfId="50614" xr:uid="{00000000-0005-0000-0000-0000A2BC0000}"/>
    <cellStyle name="SAPBEXHLevel0X 3 3 3 4" xfId="51308" xr:uid="{00000000-0005-0000-0000-0000A3BC0000}"/>
    <cellStyle name="SAPBEXHLevel0X 3 3 4" xfId="49675" xr:uid="{00000000-0005-0000-0000-0000A4BC0000}"/>
    <cellStyle name="SAPBEXHLevel0X 3 3 4 2" xfId="50399" xr:uid="{00000000-0005-0000-0000-0000A5BC0000}"/>
    <cellStyle name="SAPBEXHLevel0X 3 3 4 3" xfId="51261" xr:uid="{00000000-0005-0000-0000-0000A6BC0000}"/>
    <cellStyle name="SAPBEXHLevel0X 3 3 5" xfId="50008" xr:uid="{00000000-0005-0000-0000-0000A7BC0000}"/>
    <cellStyle name="SAPBEXHLevel0X 3 3 5 2" xfId="51053" xr:uid="{00000000-0005-0000-0000-0000A8BC0000}"/>
    <cellStyle name="SAPBEXHLevel0X 3 3 5 3" xfId="51556" xr:uid="{00000000-0005-0000-0000-0000A9BC0000}"/>
    <cellStyle name="SAPBEXHLevel0X 3 3 6" xfId="50721" xr:uid="{00000000-0005-0000-0000-0000AABC0000}"/>
    <cellStyle name="SAPBEXHLevel0X 3 3 7" xfId="50873" xr:uid="{00000000-0005-0000-0000-0000ABBC0000}"/>
    <cellStyle name="SAPBEXHLevel0X 3 3 8" xfId="49292" xr:uid="{00000000-0005-0000-0000-0000ACBC0000}"/>
    <cellStyle name="SAPBEXHLevel0X 3 4" xfId="49293" xr:uid="{00000000-0005-0000-0000-0000ADBC0000}"/>
    <cellStyle name="SAPBEXHLevel0X 3 4 2" xfId="49537" xr:uid="{00000000-0005-0000-0000-0000AEBC0000}"/>
    <cellStyle name="SAPBEXHLevel0X 3 4 2 2" xfId="49865" xr:uid="{00000000-0005-0000-0000-0000AFBC0000}"/>
    <cellStyle name="SAPBEXHLevel0X 3 4 2 2 2" xfId="50152" xr:uid="{00000000-0005-0000-0000-0000B0BC0000}"/>
    <cellStyle name="SAPBEXHLevel0X 3 4 2 2 3" xfId="51315" xr:uid="{00000000-0005-0000-0000-0000B1BC0000}"/>
    <cellStyle name="SAPBEXHLevel0X 3 4 2 3" xfId="50510" xr:uid="{00000000-0005-0000-0000-0000B2BC0000}"/>
    <cellStyle name="SAPBEXHLevel0X 3 4 2 4" xfId="51502" xr:uid="{00000000-0005-0000-0000-0000B3BC0000}"/>
    <cellStyle name="SAPBEXHLevel0X 3 4 3" xfId="49431" xr:uid="{00000000-0005-0000-0000-0000B4BC0000}"/>
    <cellStyle name="SAPBEXHLevel0X 3 4 3 2" xfId="49759" xr:uid="{00000000-0005-0000-0000-0000B5BC0000}"/>
    <cellStyle name="SAPBEXHLevel0X 3 4 3 2 2" xfId="50246" xr:uid="{00000000-0005-0000-0000-0000B6BC0000}"/>
    <cellStyle name="SAPBEXHLevel0X 3 4 3 2 3" xfId="50648" xr:uid="{00000000-0005-0000-0000-0000B7BC0000}"/>
    <cellStyle name="SAPBEXHLevel0X 3 4 3 3" xfId="50615" xr:uid="{00000000-0005-0000-0000-0000B8BC0000}"/>
    <cellStyle name="SAPBEXHLevel0X 3 4 3 4" xfId="51465" xr:uid="{00000000-0005-0000-0000-0000B9BC0000}"/>
    <cellStyle name="SAPBEXHLevel0X 3 4 4" xfId="49676" xr:uid="{00000000-0005-0000-0000-0000BABC0000}"/>
    <cellStyle name="SAPBEXHLevel0X 3 4 4 2" xfId="50063" xr:uid="{00000000-0005-0000-0000-0000BBBC0000}"/>
    <cellStyle name="SAPBEXHLevel0X 3 4 4 3" xfId="51518" xr:uid="{00000000-0005-0000-0000-0000BCBC0000}"/>
    <cellStyle name="SAPBEXHLevel0X 3 4 5" xfId="50007" xr:uid="{00000000-0005-0000-0000-0000BDBC0000}"/>
    <cellStyle name="SAPBEXHLevel0X 3 4 5 2" xfId="51052" xr:uid="{00000000-0005-0000-0000-0000BEBC0000}"/>
    <cellStyle name="SAPBEXHLevel0X 3 4 5 3" xfId="51298" xr:uid="{00000000-0005-0000-0000-0000BFBC0000}"/>
    <cellStyle name="SAPBEXHLevel0X 3 4 6" xfId="50720" xr:uid="{00000000-0005-0000-0000-0000C0BC0000}"/>
    <cellStyle name="SAPBEXHLevel0X 3 4 7" xfId="50947" xr:uid="{00000000-0005-0000-0000-0000C1BC0000}"/>
    <cellStyle name="SAPBEXHLevel0X 3 5" xfId="49294" xr:uid="{00000000-0005-0000-0000-0000C2BC0000}"/>
    <cellStyle name="SAPBEXHLevel0X 3 5 2" xfId="49538" xr:uid="{00000000-0005-0000-0000-0000C3BC0000}"/>
    <cellStyle name="SAPBEXHLevel0X 3 5 2 2" xfId="49866" xr:uid="{00000000-0005-0000-0000-0000C4BC0000}"/>
    <cellStyle name="SAPBEXHLevel0X 3 5 2 2 2" xfId="50151" xr:uid="{00000000-0005-0000-0000-0000C5BC0000}"/>
    <cellStyle name="SAPBEXHLevel0X 3 5 2 2 3" xfId="51572" xr:uid="{00000000-0005-0000-0000-0000C6BC0000}"/>
    <cellStyle name="SAPBEXHLevel0X 3 5 2 3" xfId="50509" xr:uid="{00000000-0005-0000-0000-0000C7BC0000}"/>
    <cellStyle name="SAPBEXHLevel0X 3 5 2 4" xfId="51193" xr:uid="{00000000-0005-0000-0000-0000C8BC0000}"/>
    <cellStyle name="SAPBEXHLevel0X 3 5 3" xfId="49430" xr:uid="{00000000-0005-0000-0000-0000C9BC0000}"/>
    <cellStyle name="SAPBEXHLevel0X 3 5 3 2" xfId="49758" xr:uid="{00000000-0005-0000-0000-0000CABC0000}"/>
    <cellStyle name="SAPBEXHLevel0X 3 5 3 2 2" xfId="50247" xr:uid="{00000000-0005-0000-0000-0000CBBC0000}"/>
    <cellStyle name="SAPBEXHLevel0X 3 5 3 2 3" xfId="51663" xr:uid="{00000000-0005-0000-0000-0000CCBC0000}"/>
    <cellStyle name="SAPBEXHLevel0X 3 5 3 3" xfId="50616" xr:uid="{00000000-0005-0000-0000-0000CDBC0000}"/>
    <cellStyle name="SAPBEXHLevel0X 3 5 3 4" xfId="51207" xr:uid="{00000000-0005-0000-0000-0000CEBC0000}"/>
    <cellStyle name="SAPBEXHLevel0X 3 5 4" xfId="49677" xr:uid="{00000000-0005-0000-0000-0000CFBC0000}"/>
    <cellStyle name="SAPBEXHLevel0X 3 5 4 2" xfId="50375" xr:uid="{00000000-0005-0000-0000-0000D0BC0000}"/>
    <cellStyle name="SAPBEXHLevel0X 3 5 4 3" xfId="51178" xr:uid="{00000000-0005-0000-0000-0000D1BC0000}"/>
    <cellStyle name="SAPBEXHLevel0X 3 5 5" xfId="49966" xr:uid="{00000000-0005-0000-0000-0000D2BC0000}"/>
    <cellStyle name="SAPBEXHLevel0X 3 5 5 2" xfId="51011" xr:uid="{00000000-0005-0000-0000-0000D3BC0000}"/>
    <cellStyle name="SAPBEXHLevel0X 3 5 5 3" xfId="51333" xr:uid="{00000000-0005-0000-0000-0000D4BC0000}"/>
    <cellStyle name="SAPBEXHLevel0X 3 5 6" xfId="50719" xr:uid="{00000000-0005-0000-0000-0000D5BC0000}"/>
    <cellStyle name="SAPBEXHLevel0X 3 5 7" xfId="50887" xr:uid="{00000000-0005-0000-0000-0000D6BC0000}"/>
    <cellStyle name="SAPBEXHLevel0X 3 6" xfId="49295" xr:uid="{00000000-0005-0000-0000-0000D7BC0000}"/>
    <cellStyle name="SAPBEXHLevel0X 3 6 2" xfId="49539" xr:uid="{00000000-0005-0000-0000-0000D8BC0000}"/>
    <cellStyle name="SAPBEXHLevel0X 3 6 2 2" xfId="49867" xr:uid="{00000000-0005-0000-0000-0000D9BC0000}"/>
    <cellStyle name="SAPBEXHLevel0X 3 6 2 2 2" xfId="50150" xr:uid="{00000000-0005-0000-0000-0000DABC0000}"/>
    <cellStyle name="SAPBEXHLevel0X 3 6 2 2 3" xfId="51402" xr:uid="{00000000-0005-0000-0000-0000DBBC0000}"/>
    <cellStyle name="SAPBEXHLevel0X 3 6 2 3" xfId="50508" xr:uid="{00000000-0005-0000-0000-0000DCBC0000}"/>
    <cellStyle name="SAPBEXHLevel0X 3 6 2 4" xfId="51451" xr:uid="{00000000-0005-0000-0000-0000DDBC0000}"/>
    <cellStyle name="SAPBEXHLevel0X 3 6 3" xfId="49429" xr:uid="{00000000-0005-0000-0000-0000DEBC0000}"/>
    <cellStyle name="SAPBEXHLevel0X 3 6 3 2" xfId="49757" xr:uid="{00000000-0005-0000-0000-0000DFBC0000}"/>
    <cellStyle name="SAPBEXHLevel0X 3 6 3 2 2" xfId="50248" xr:uid="{00000000-0005-0000-0000-0000E0BC0000}"/>
    <cellStyle name="SAPBEXHLevel0X 3 6 3 2 3" xfId="51389" xr:uid="{00000000-0005-0000-0000-0000E1BC0000}"/>
    <cellStyle name="SAPBEXHLevel0X 3 6 3 3" xfId="50617" xr:uid="{00000000-0005-0000-0000-0000E2BC0000}"/>
    <cellStyle name="SAPBEXHLevel0X 3 6 3 4" xfId="51488" xr:uid="{00000000-0005-0000-0000-0000E3BC0000}"/>
    <cellStyle name="SAPBEXHLevel0X 3 6 4" xfId="49678" xr:uid="{00000000-0005-0000-0000-0000E4BC0000}"/>
    <cellStyle name="SAPBEXHLevel0X 3 6 4 2" xfId="50349" xr:uid="{00000000-0005-0000-0000-0000E5BC0000}"/>
    <cellStyle name="SAPBEXHLevel0X 3 6 4 3" xfId="51437" xr:uid="{00000000-0005-0000-0000-0000E6BC0000}"/>
    <cellStyle name="SAPBEXHLevel0X 3 6 5" xfId="50006" xr:uid="{00000000-0005-0000-0000-0000E7BC0000}"/>
    <cellStyle name="SAPBEXHLevel0X 3 6 5 2" xfId="51051" xr:uid="{00000000-0005-0000-0000-0000E8BC0000}"/>
    <cellStyle name="SAPBEXHLevel0X 3 6 5 3" xfId="51123" xr:uid="{00000000-0005-0000-0000-0000E9BC0000}"/>
    <cellStyle name="SAPBEXHLevel0X 3 6 6" xfId="50718" xr:uid="{00000000-0005-0000-0000-0000EABC0000}"/>
    <cellStyle name="SAPBEXHLevel0X 3 6 7" xfId="50958" xr:uid="{00000000-0005-0000-0000-0000EBBC0000}"/>
    <cellStyle name="SAPBEXHLevel0X 3 7" xfId="49296" xr:uid="{00000000-0005-0000-0000-0000ECBC0000}"/>
    <cellStyle name="SAPBEXHLevel0X 3 7 2" xfId="49540" xr:uid="{00000000-0005-0000-0000-0000EDBC0000}"/>
    <cellStyle name="SAPBEXHLevel0X 3 7 2 2" xfId="49868" xr:uid="{00000000-0005-0000-0000-0000EEBC0000}"/>
    <cellStyle name="SAPBEXHLevel0X 3 7 2 2 2" xfId="50149" xr:uid="{00000000-0005-0000-0000-0000EFBC0000}"/>
    <cellStyle name="SAPBEXHLevel0X 3 7 2 2 3" xfId="51616" xr:uid="{00000000-0005-0000-0000-0000F0BC0000}"/>
    <cellStyle name="SAPBEXHLevel0X 3 7 2 3" xfId="50507" xr:uid="{00000000-0005-0000-0000-0000F1BC0000}"/>
    <cellStyle name="SAPBEXHLevel0X 3 7 2 4" xfId="51363" xr:uid="{00000000-0005-0000-0000-0000F2BC0000}"/>
    <cellStyle name="SAPBEXHLevel0X 3 7 3" xfId="49428" xr:uid="{00000000-0005-0000-0000-0000F3BC0000}"/>
    <cellStyle name="SAPBEXHLevel0X 3 7 3 2" xfId="49756" xr:uid="{00000000-0005-0000-0000-0000F4BC0000}"/>
    <cellStyle name="SAPBEXHLevel0X 3 7 3 2 2" xfId="50249" xr:uid="{00000000-0005-0000-0000-0000F5BC0000}"/>
    <cellStyle name="SAPBEXHLevel0X 3 7 3 2 3" xfId="51429" xr:uid="{00000000-0005-0000-0000-0000F6BC0000}"/>
    <cellStyle name="SAPBEXHLevel0X 3 7 3 3" xfId="50618" xr:uid="{00000000-0005-0000-0000-0000F7BC0000}"/>
    <cellStyle name="SAPBEXHLevel0X 3 7 3 4" xfId="51231" xr:uid="{00000000-0005-0000-0000-0000F8BC0000}"/>
    <cellStyle name="SAPBEXHLevel0X 3 7 4" xfId="49679" xr:uid="{00000000-0005-0000-0000-0000F9BC0000}"/>
    <cellStyle name="SAPBEXHLevel0X 3 7 4 2" xfId="50348" xr:uid="{00000000-0005-0000-0000-0000FABC0000}"/>
    <cellStyle name="SAPBEXHLevel0X 3 7 4 3" xfId="51379" xr:uid="{00000000-0005-0000-0000-0000FBBC0000}"/>
    <cellStyle name="SAPBEXHLevel0X 3 7 5" xfId="50005" xr:uid="{00000000-0005-0000-0000-0000FCBC0000}"/>
    <cellStyle name="SAPBEXHLevel0X 3 7 5 2" xfId="51050" xr:uid="{00000000-0005-0000-0000-0000FDBC0000}"/>
    <cellStyle name="SAPBEXHLevel0X 3 7 5 3" xfId="51608" xr:uid="{00000000-0005-0000-0000-0000FEBC0000}"/>
    <cellStyle name="SAPBEXHLevel0X 3 7 6" xfId="50717" xr:uid="{00000000-0005-0000-0000-0000FFBC0000}"/>
    <cellStyle name="SAPBEXHLevel0X 3 7 7" xfId="50911" xr:uid="{00000000-0005-0000-0000-000000BD0000}"/>
    <cellStyle name="SAPBEXHLevel0X 3 8" xfId="49297" xr:uid="{00000000-0005-0000-0000-000001BD0000}"/>
    <cellStyle name="SAPBEXHLevel0X 3 8 2" xfId="49541" xr:uid="{00000000-0005-0000-0000-000002BD0000}"/>
    <cellStyle name="SAPBEXHLevel0X 3 8 2 2" xfId="49869" xr:uid="{00000000-0005-0000-0000-000003BD0000}"/>
    <cellStyle name="SAPBEXHLevel0X 3 8 2 2 2" xfId="50148" xr:uid="{00000000-0005-0000-0000-000004BD0000}"/>
    <cellStyle name="SAPBEXHLevel0X 3 8 2 2 3" xfId="50965" xr:uid="{00000000-0005-0000-0000-000005BD0000}"/>
    <cellStyle name="SAPBEXHLevel0X 3 8 2 3" xfId="50506" xr:uid="{00000000-0005-0000-0000-000006BD0000}"/>
    <cellStyle name="SAPBEXHLevel0X 3 8 2 4" xfId="51643" xr:uid="{00000000-0005-0000-0000-000007BD0000}"/>
    <cellStyle name="SAPBEXHLevel0X 3 8 3" xfId="49427" xr:uid="{00000000-0005-0000-0000-000008BD0000}"/>
    <cellStyle name="SAPBEXHLevel0X 3 8 3 2" xfId="49755" xr:uid="{00000000-0005-0000-0000-000009BD0000}"/>
    <cellStyle name="SAPBEXHLevel0X 3 8 3 2 2" xfId="50250" xr:uid="{00000000-0005-0000-0000-00000ABD0000}"/>
    <cellStyle name="SAPBEXHLevel0X 3 8 3 2 3" xfId="51169" xr:uid="{00000000-0005-0000-0000-00000BBD0000}"/>
    <cellStyle name="SAPBEXHLevel0X 3 8 3 3" xfId="50619" xr:uid="{00000000-0005-0000-0000-00000CBD0000}"/>
    <cellStyle name="SAPBEXHLevel0X 3 8 3 4" xfId="50899" xr:uid="{00000000-0005-0000-0000-00000DBD0000}"/>
    <cellStyle name="SAPBEXHLevel0X 3 8 4" xfId="49680" xr:uid="{00000000-0005-0000-0000-00000EBD0000}"/>
    <cellStyle name="SAPBEXHLevel0X 3 8 4 2" xfId="50347" xr:uid="{00000000-0005-0000-0000-00000FBD0000}"/>
    <cellStyle name="SAPBEXHLevel0X 3 8 4 3" xfId="51630" xr:uid="{00000000-0005-0000-0000-000010BD0000}"/>
    <cellStyle name="SAPBEXHLevel0X 3 8 5" xfId="50051" xr:uid="{00000000-0005-0000-0000-000011BD0000}"/>
    <cellStyle name="SAPBEXHLevel0X 3 8 5 2" xfId="51095" xr:uid="{00000000-0005-0000-0000-000012BD0000}"/>
    <cellStyle name="SAPBEXHLevel0X 3 8 5 3" xfId="51589" xr:uid="{00000000-0005-0000-0000-000013BD0000}"/>
    <cellStyle name="SAPBEXHLevel0X 3 8 6" xfId="50716" xr:uid="{00000000-0005-0000-0000-000014BD0000}"/>
    <cellStyle name="SAPBEXHLevel0X 3 8 7" xfId="50974" xr:uid="{00000000-0005-0000-0000-000015BD0000}"/>
    <cellStyle name="SAPBEXHLevel0X 3 9" xfId="49534" xr:uid="{00000000-0005-0000-0000-000016BD0000}"/>
    <cellStyle name="SAPBEXHLevel0X 3 9 2" xfId="49862" xr:uid="{00000000-0005-0000-0000-000017BD0000}"/>
    <cellStyle name="SAPBEXHLevel0X 3 9 2 2" xfId="50155" xr:uid="{00000000-0005-0000-0000-000018BD0000}"/>
    <cellStyle name="SAPBEXHLevel0X 3 9 2 3" xfId="50894" xr:uid="{00000000-0005-0000-0000-000019BD0000}"/>
    <cellStyle name="SAPBEXHLevel0X 3 9 3" xfId="50513" xr:uid="{00000000-0005-0000-0000-00001ABD0000}"/>
    <cellStyle name="SAPBEXHLevel0X 3 9 4" xfId="50914"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8" xr:uid="{00000000-0005-0000-0000-000020BD0000}"/>
    <cellStyle name="SAPBEXHLevel0X 4" xfId="46135" xr:uid="{00000000-0005-0000-0000-000021BD0000}"/>
    <cellStyle name="SAPBEXHLevel0X 4 2" xfId="46136" xr:uid="{00000000-0005-0000-0000-000022BD0000}"/>
    <cellStyle name="SAPBEXHLevel0X 4 2 2" xfId="50157" xr:uid="{00000000-0005-0000-0000-000023BD0000}"/>
    <cellStyle name="SAPBEXHLevel0X 4 2 3" xfId="51401" xr:uid="{00000000-0005-0000-0000-000024BD0000}"/>
    <cellStyle name="SAPBEXHLevel0X 4 2 4" xfId="49860" xr:uid="{00000000-0005-0000-0000-000025BD0000}"/>
    <cellStyle name="SAPBEXHLevel0X 4 3" xfId="50515" xr:uid="{00000000-0005-0000-0000-000026BD0000}"/>
    <cellStyle name="SAPBEXHLevel0X 4 4" xfId="51360" xr:uid="{00000000-0005-0000-0000-000027BD0000}"/>
    <cellStyle name="SAPBEXHLevel0X 4 5" xfId="49532" xr:uid="{00000000-0005-0000-0000-000028BD0000}"/>
    <cellStyle name="SAPBEXHLevel0X 5" xfId="46137" xr:uid="{00000000-0005-0000-0000-000029BD0000}"/>
    <cellStyle name="SAPBEXHLevel0X 5 2" xfId="46138" xr:uid="{00000000-0005-0000-0000-00002ABD0000}"/>
    <cellStyle name="SAPBEXHLevel0X 5 2 2" xfId="50241" xr:uid="{00000000-0005-0000-0000-00002BBD0000}"/>
    <cellStyle name="SAPBEXHLevel0X 5 2 3" xfId="51390" xr:uid="{00000000-0005-0000-0000-00002CBD0000}"/>
    <cellStyle name="SAPBEXHLevel0X 5 2 4" xfId="49764" xr:uid="{00000000-0005-0000-0000-00002DBD0000}"/>
    <cellStyle name="SAPBEXHLevel0X 5 3" xfId="50610" xr:uid="{00000000-0005-0000-0000-00002EBD0000}"/>
    <cellStyle name="SAPBEXHLevel0X 5 4" xfId="50970" xr:uid="{00000000-0005-0000-0000-00002FBD0000}"/>
    <cellStyle name="SAPBEXHLevel0X 5 5" xfId="49436" xr:uid="{00000000-0005-0000-0000-000030BD0000}"/>
    <cellStyle name="SAPBEXHLevel0X 6" xfId="46139" xr:uid="{00000000-0005-0000-0000-000031BD0000}"/>
    <cellStyle name="SAPBEXHLevel0X 6 2" xfId="46140" xr:uid="{00000000-0005-0000-0000-000032BD0000}"/>
    <cellStyle name="SAPBEXHLevel0X 6 2 2" xfId="50403" xr:uid="{00000000-0005-0000-0000-000033BD0000}"/>
    <cellStyle name="SAPBEXHLevel0X 6 3" xfId="51563" xr:uid="{00000000-0005-0000-0000-000034BD0000}"/>
    <cellStyle name="SAPBEXHLevel0X 6 4" xfId="49671" xr:uid="{00000000-0005-0000-0000-000035BD0000}"/>
    <cellStyle name="SAPBEXHLevel0X 7" xfId="46141" xr:uid="{00000000-0005-0000-0000-000036BD0000}"/>
    <cellStyle name="SAPBEXHLevel0X 7 2" xfId="46142" xr:uid="{00000000-0005-0000-0000-000037BD0000}"/>
    <cellStyle name="SAPBEXHLevel0X 7 2 2" xfId="51057" xr:uid="{00000000-0005-0000-0000-000038BD0000}"/>
    <cellStyle name="SAPBEXHLevel0X 7 3" xfId="51607" xr:uid="{00000000-0005-0000-0000-000039BD0000}"/>
    <cellStyle name="SAPBEXHLevel0X 7 4" xfId="50012" xr:uid="{00000000-0005-0000-0000-00003ABD0000}"/>
    <cellStyle name="SAPBEXHLevel0X 8" xfId="46143" xr:uid="{00000000-0005-0000-0000-00003BBD0000}"/>
    <cellStyle name="SAPBEXHLevel0X 8 2" xfId="46144" xr:uid="{00000000-0005-0000-0000-00003CBD0000}"/>
    <cellStyle name="SAPBEXHLevel0X 8 3" xfId="50725" xr:uid="{00000000-0005-0000-0000-00003DBD0000}"/>
    <cellStyle name="SAPBEXHLevel0X 9" xfId="46145" xr:uid="{00000000-0005-0000-0000-00003EBD0000}"/>
    <cellStyle name="SAPBEXHLevel0X 9 2" xfId="46146" xr:uid="{00000000-0005-0000-0000-00003FBD0000}"/>
    <cellStyle name="SAPBEXHLevel0X 9 3" xfId="51469"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2"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6" xr:uid="{00000000-0005-0000-0000-00005BBD0000}"/>
    <cellStyle name="SAPBEXHLevel1 2 2 2 3" xfId="51542" xr:uid="{00000000-0005-0000-0000-00005CBD0000}"/>
    <cellStyle name="SAPBEXHLevel1 2 2 2 4" xfId="49871" xr:uid="{00000000-0005-0000-0000-00005DBD0000}"/>
    <cellStyle name="SAPBEXHLevel1 2 2 3" xfId="46171" xr:uid="{00000000-0005-0000-0000-00005EBD0000}"/>
    <cellStyle name="SAPBEXHLevel1 2 2 3 2" xfId="50504" xr:uid="{00000000-0005-0000-0000-00005FBD0000}"/>
    <cellStyle name="SAPBEXHLevel1 2 2 4" xfId="51192" xr:uid="{00000000-0005-0000-0000-000060BD0000}"/>
    <cellStyle name="SAPBEXHLevel1 2 2 5" xfId="49543"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2" xr:uid="{00000000-0005-0000-0000-00006EBD0000}"/>
    <cellStyle name="SAPBEXHLevel1 2 3 2 3" xfId="51270" xr:uid="{00000000-0005-0000-0000-00006FBD0000}"/>
    <cellStyle name="SAPBEXHLevel1 2 3 2 4" xfId="49753" xr:uid="{00000000-0005-0000-0000-000070BD0000}"/>
    <cellStyle name="SAPBEXHLevel1 2 3 3" xfId="50621" xr:uid="{00000000-0005-0000-0000-000071BD0000}"/>
    <cellStyle name="SAPBEXHLevel1 2 3 4" xfId="51348" xr:uid="{00000000-0005-0000-0000-000072BD0000}"/>
    <cellStyle name="SAPBEXHLevel1 2 3 5" xfId="49425"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9" xr:uid="{00000000-0005-0000-0000-000077BD0000}"/>
    <cellStyle name="SAPBEXHLevel1 2 4" xfId="46187" xr:uid="{00000000-0005-0000-0000-000078BD0000}"/>
    <cellStyle name="SAPBEXHLevel1 2 4 2" xfId="46188" xr:uid="{00000000-0005-0000-0000-000079BD0000}"/>
    <cellStyle name="SAPBEXHLevel1 2 4 2 2" xfId="50345" xr:uid="{00000000-0005-0000-0000-00007ABD0000}"/>
    <cellStyle name="SAPBEXHLevel1 2 4 3" xfId="51262" xr:uid="{00000000-0005-0000-0000-00007BBD0000}"/>
    <cellStyle name="SAPBEXHLevel1 2 4 4" xfId="49682" xr:uid="{00000000-0005-0000-0000-00007CBD0000}"/>
    <cellStyle name="SAPBEXHLevel1 2 5" xfId="46189" xr:uid="{00000000-0005-0000-0000-00007DBD0000}"/>
    <cellStyle name="SAPBEXHLevel1 2 5 2" xfId="46190" xr:uid="{00000000-0005-0000-0000-00007EBD0000}"/>
    <cellStyle name="SAPBEXHLevel1 2 5 2 2" xfId="51048" xr:uid="{00000000-0005-0000-0000-00007FBD0000}"/>
    <cellStyle name="SAPBEXHLevel1 2 5 3" xfId="51585" xr:uid="{00000000-0005-0000-0000-000080BD0000}"/>
    <cellStyle name="SAPBEXHLevel1 2 5 4" xfId="50003" xr:uid="{00000000-0005-0000-0000-000081BD0000}"/>
    <cellStyle name="SAPBEXHLevel1 2 6" xfId="46191" xr:uid="{00000000-0005-0000-0000-000082BD0000}"/>
    <cellStyle name="SAPBEXHLevel1 2 6 2" xfId="46192" xr:uid="{00000000-0005-0000-0000-000083BD0000}"/>
    <cellStyle name="SAPBEXHLevel1 2 6 3" xfId="50714" xr:uid="{00000000-0005-0000-0000-000084BD0000}"/>
    <cellStyle name="SAPBEXHLevel1 2 7" xfId="46193" xr:uid="{00000000-0005-0000-0000-000085BD0000}"/>
    <cellStyle name="SAPBEXHLevel1 2 7 2" xfId="46194" xr:uid="{00000000-0005-0000-0000-000086BD0000}"/>
    <cellStyle name="SAPBEXHLevel1 2 7 3" xfId="51144"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7" xr:uid="{00000000-0005-0000-0000-000097BD0000}"/>
    <cellStyle name="SAPBEXHLevel1 3 2 3" xfId="51284" xr:uid="{00000000-0005-0000-0000-000098BD0000}"/>
    <cellStyle name="SAPBEXHLevel1 3 2 4" xfId="49870" xr:uid="{00000000-0005-0000-0000-000099BD0000}"/>
    <cellStyle name="SAPBEXHLevel1 3 3" xfId="46210" xr:uid="{00000000-0005-0000-0000-00009ABD0000}"/>
    <cellStyle name="SAPBEXHLevel1 3 3 2" xfId="50505" xr:uid="{00000000-0005-0000-0000-00009BBD0000}"/>
    <cellStyle name="SAPBEXHLevel1 3 4" xfId="50811" xr:uid="{00000000-0005-0000-0000-00009CBD0000}"/>
    <cellStyle name="SAPBEXHLevel1 3 5" xfId="49542"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8" xr:uid="{00000000-0005-0000-0000-0000A2BD0000}"/>
    <cellStyle name="SAPBEXHLevel1 4" xfId="46215" xr:uid="{00000000-0005-0000-0000-0000A3BD0000}"/>
    <cellStyle name="SAPBEXHLevel1 4 2" xfId="46216" xr:uid="{00000000-0005-0000-0000-0000A4BD0000}"/>
    <cellStyle name="SAPBEXHLevel1 4 2 2" xfId="50251" xr:uid="{00000000-0005-0000-0000-0000A5BD0000}"/>
    <cellStyle name="SAPBEXHLevel1 4 2 3" xfId="51528" xr:uid="{00000000-0005-0000-0000-0000A6BD0000}"/>
    <cellStyle name="SAPBEXHLevel1 4 2 4" xfId="49754" xr:uid="{00000000-0005-0000-0000-0000A7BD0000}"/>
    <cellStyle name="SAPBEXHLevel1 4 3" xfId="50620" xr:uid="{00000000-0005-0000-0000-0000A8BD0000}"/>
    <cellStyle name="SAPBEXHLevel1 4 4" xfId="51657" xr:uid="{00000000-0005-0000-0000-0000A9BD0000}"/>
    <cellStyle name="SAPBEXHLevel1 4 5" xfId="49426" xr:uid="{00000000-0005-0000-0000-0000AABD0000}"/>
    <cellStyle name="SAPBEXHLevel1 5" xfId="46217" xr:uid="{00000000-0005-0000-0000-0000ABBD0000}"/>
    <cellStyle name="SAPBEXHLevel1 5 2" xfId="46218" xr:uid="{00000000-0005-0000-0000-0000ACBD0000}"/>
    <cellStyle name="SAPBEXHLevel1 5 2 2" xfId="50091" xr:uid="{00000000-0005-0000-0000-0000ADBD0000}"/>
    <cellStyle name="SAPBEXHLevel1 5 2 3" xfId="51112" xr:uid="{00000000-0005-0000-0000-0000AEBD0000}"/>
    <cellStyle name="SAPBEXHLevel1 5 2 4" xfId="49928" xr:uid="{00000000-0005-0000-0000-0000AFBD0000}"/>
    <cellStyle name="SAPBEXHLevel1 5 3" xfId="50447" xr:uid="{00000000-0005-0000-0000-0000B0BD0000}"/>
    <cellStyle name="SAPBEXHLevel1 5 4" xfId="51194" xr:uid="{00000000-0005-0000-0000-0000B1BD0000}"/>
    <cellStyle name="SAPBEXHLevel1 5 5" xfId="49600" xr:uid="{00000000-0005-0000-0000-0000B2BD0000}"/>
    <cellStyle name="SAPBEXHLevel1 6" xfId="46219" xr:uid="{00000000-0005-0000-0000-0000B3BD0000}"/>
    <cellStyle name="SAPBEXHLevel1 6 2" xfId="46220" xr:uid="{00000000-0005-0000-0000-0000B4BD0000}"/>
    <cellStyle name="SAPBEXHLevel1 6 2 2" xfId="50346" xr:uid="{00000000-0005-0000-0000-0000B5BD0000}"/>
    <cellStyle name="SAPBEXHLevel1 6 3" xfId="50814" xr:uid="{00000000-0005-0000-0000-0000B6BD0000}"/>
    <cellStyle name="SAPBEXHLevel1 6 4" xfId="49681" xr:uid="{00000000-0005-0000-0000-0000B7BD0000}"/>
    <cellStyle name="SAPBEXHLevel1 7" xfId="46221" xr:uid="{00000000-0005-0000-0000-0000B8BD0000}"/>
    <cellStyle name="SAPBEXHLevel1 7 2" xfId="46222" xr:uid="{00000000-0005-0000-0000-0000B9BD0000}"/>
    <cellStyle name="SAPBEXHLevel1 7 2 2" xfId="51049" xr:uid="{00000000-0005-0000-0000-0000BABD0000}"/>
    <cellStyle name="SAPBEXHLevel1 7 3" xfId="51415" xr:uid="{00000000-0005-0000-0000-0000BBBD0000}"/>
    <cellStyle name="SAPBEXHLevel1 7 4" xfId="50004" xr:uid="{00000000-0005-0000-0000-0000BCBD0000}"/>
    <cellStyle name="SAPBEXHLevel1 8" xfId="46223" xr:uid="{00000000-0005-0000-0000-0000BDBD0000}"/>
    <cellStyle name="SAPBEXHLevel1 8 2" xfId="46224" xr:uid="{00000000-0005-0000-0000-0000BEBD0000}"/>
    <cellStyle name="SAPBEXHLevel1 8 3" xfId="50715" xr:uid="{00000000-0005-0000-0000-0000BFBD0000}"/>
    <cellStyle name="SAPBEXHLevel1 9" xfId="46225" xr:uid="{00000000-0005-0000-0000-0000C0BD0000}"/>
    <cellStyle name="SAPBEXHLevel1 9 2" xfId="46226" xr:uid="{00000000-0005-0000-0000-0000C1BD0000}"/>
    <cellStyle name="SAPBEXHLevel1 9 3" xfId="50945"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4" xr:uid="{00000000-0005-0000-0000-0000DCBD0000}"/>
    <cellStyle name="SAPBEXHLevel1X 2 2 2 3" xfId="51573" xr:uid="{00000000-0005-0000-0000-0000DDBD0000}"/>
    <cellStyle name="SAPBEXHLevel1X 2 2 2 4" xfId="49873" xr:uid="{00000000-0005-0000-0000-0000DEBD0000}"/>
    <cellStyle name="SAPBEXHLevel1X 2 2 3" xfId="46251" xr:uid="{00000000-0005-0000-0000-0000DFBD0000}"/>
    <cellStyle name="SAPBEXHLevel1X 2 2 3 2" xfId="50502" xr:uid="{00000000-0005-0000-0000-0000E0BD0000}"/>
    <cellStyle name="SAPBEXHLevel1X 2 2 4" xfId="51364" xr:uid="{00000000-0005-0000-0000-0000E1BD0000}"/>
    <cellStyle name="SAPBEXHLevel1X 2 2 5" xfId="49545"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4" xr:uid="{00000000-0005-0000-0000-0000EFBD0000}"/>
    <cellStyle name="SAPBEXHLevel1X 2 3 2 3" xfId="51624" xr:uid="{00000000-0005-0000-0000-0000F0BD0000}"/>
    <cellStyle name="SAPBEXHLevel1X 2 3 2 4" xfId="49751" xr:uid="{00000000-0005-0000-0000-0000F1BD0000}"/>
    <cellStyle name="SAPBEXHLevel1X 2 3 3" xfId="50623" xr:uid="{00000000-0005-0000-0000-0000F2BD0000}"/>
    <cellStyle name="SAPBEXHLevel1X 2 3 4" xfId="51307" xr:uid="{00000000-0005-0000-0000-0000F3BD0000}"/>
    <cellStyle name="SAPBEXHLevel1X 2 3 5" xfId="49423"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1" xr:uid="{00000000-0005-0000-0000-0000F8BD0000}"/>
    <cellStyle name="SAPBEXHLevel1X 2 4" xfId="46267" xr:uid="{00000000-0005-0000-0000-0000F9BD0000}"/>
    <cellStyle name="SAPBEXHLevel1X 2 4 2" xfId="46268" xr:uid="{00000000-0005-0000-0000-0000FABD0000}"/>
    <cellStyle name="SAPBEXHLevel1X 2 4 2 2" xfId="50337" xr:uid="{00000000-0005-0000-0000-0000FBBD0000}"/>
    <cellStyle name="SAPBEXHLevel1X 2 4 3" xfId="51177" xr:uid="{00000000-0005-0000-0000-0000FCBD0000}"/>
    <cellStyle name="SAPBEXHLevel1X 2 4 4" xfId="49684" xr:uid="{00000000-0005-0000-0000-0000FDBD0000}"/>
    <cellStyle name="SAPBEXHLevel1X 2 5" xfId="46269" xr:uid="{00000000-0005-0000-0000-0000FEBD0000}"/>
    <cellStyle name="SAPBEXHLevel1X 2 5 2" xfId="46270" xr:uid="{00000000-0005-0000-0000-0000FFBD0000}"/>
    <cellStyle name="SAPBEXHLevel1X 2 5 2 2" xfId="51094" xr:uid="{00000000-0005-0000-0000-000000BE0000}"/>
    <cellStyle name="SAPBEXHLevel1X 2 5 3" xfId="50906" xr:uid="{00000000-0005-0000-0000-000001BE0000}"/>
    <cellStyle name="SAPBEXHLevel1X 2 5 4" xfId="50050" xr:uid="{00000000-0005-0000-0000-000002BE0000}"/>
    <cellStyle name="SAPBEXHLevel1X 2 6" xfId="46271" xr:uid="{00000000-0005-0000-0000-000003BE0000}"/>
    <cellStyle name="SAPBEXHLevel1X 2 6 2" xfId="46272" xr:uid="{00000000-0005-0000-0000-000004BE0000}"/>
    <cellStyle name="SAPBEXHLevel1X 2 6 3" xfId="50712" xr:uid="{00000000-0005-0000-0000-000005BE0000}"/>
    <cellStyle name="SAPBEXHLevel1X 2 7" xfId="46273" xr:uid="{00000000-0005-0000-0000-000006BE0000}"/>
    <cellStyle name="SAPBEXHLevel1X 2 7 2" xfId="46274" xr:uid="{00000000-0005-0000-0000-000007BE0000}"/>
    <cellStyle name="SAPBEXHLevel1X 2 7 3" xfId="50854"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2" xr:uid="{00000000-0005-0000-0000-000017BE0000}"/>
    <cellStyle name="SAPBEXHLevel1X 3 10 2" xfId="49750" xr:uid="{00000000-0005-0000-0000-000018BE0000}"/>
    <cellStyle name="SAPBEXHLevel1X 3 10 2 2" xfId="50255" xr:uid="{00000000-0005-0000-0000-000019BE0000}"/>
    <cellStyle name="SAPBEXHLevel1X 3 10 2 3" xfId="51388" xr:uid="{00000000-0005-0000-0000-00001ABE0000}"/>
    <cellStyle name="SAPBEXHLevel1X 3 10 3" xfId="50624" xr:uid="{00000000-0005-0000-0000-00001BBE0000}"/>
    <cellStyle name="SAPBEXHLevel1X 3 10 4" xfId="51466" xr:uid="{00000000-0005-0000-0000-00001CBE0000}"/>
    <cellStyle name="SAPBEXHLevel1X 3 11" xfId="49685" xr:uid="{00000000-0005-0000-0000-00001DBE0000}"/>
    <cellStyle name="SAPBEXHLevel1X 3 11 2" xfId="50336" xr:uid="{00000000-0005-0000-0000-00001EBE0000}"/>
    <cellStyle name="SAPBEXHLevel1X 3 11 3" xfId="51436" xr:uid="{00000000-0005-0000-0000-00001FBE0000}"/>
    <cellStyle name="SAPBEXHLevel1X 3 12" xfId="50001" xr:uid="{00000000-0005-0000-0000-000020BE0000}"/>
    <cellStyle name="SAPBEXHLevel1X 3 12 2" xfId="51046" xr:uid="{00000000-0005-0000-0000-000021BE0000}"/>
    <cellStyle name="SAPBEXHLevel1X 3 12 3" xfId="51555" xr:uid="{00000000-0005-0000-0000-000022BE0000}"/>
    <cellStyle name="SAPBEXHLevel1X 3 13" xfId="50711" xr:uid="{00000000-0005-0000-0000-000023BE0000}"/>
    <cellStyle name="SAPBEXHLevel1X 3 14" xfId="51145" xr:uid="{00000000-0005-0000-0000-000024BE0000}"/>
    <cellStyle name="SAPBEXHLevel1X 3 15" xfId="49302" xr:uid="{00000000-0005-0000-0000-000025BE0000}"/>
    <cellStyle name="SAPBEXHLevel1X 3 2" xfId="46289" xr:uid="{00000000-0005-0000-0000-000026BE0000}"/>
    <cellStyle name="SAPBEXHLevel1X 3 2 2" xfId="49547" xr:uid="{00000000-0005-0000-0000-000027BE0000}"/>
    <cellStyle name="SAPBEXHLevel1X 3 2 2 2" xfId="49875" xr:uid="{00000000-0005-0000-0000-000028BE0000}"/>
    <cellStyle name="SAPBEXHLevel1X 3 2 2 2 2" xfId="50142" xr:uid="{00000000-0005-0000-0000-000029BE0000}"/>
    <cellStyle name="SAPBEXHLevel1X 3 2 2 2 3" xfId="51615" xr:uid="{00000000-0005-0000-0000-00002ABE0000}"/>
    <cellStyle name="SAPBEXHLevel1X 3 2 2 3" xfId="50500" xr:uid="{00000000-0005-0000-0000-00002BBE0000}"/>
    <cellStyle name="SAPBEXHLevel1X 3 2 2 4" xfId="50877" xr:uid="{00000000-0005-0000-0000-00002CBE0000}"/>
    <cellStyle name="SAPBEXHLevel1X 3 2 3" xfId="49421" xr:uid="{00000000-0005-0000-0000-00002DBE0000}"/>
    <cellStyle name="SAPBEXHLevel1X 3 2 3 2" xfId="49749" xr:uid="{00000000-0005-0000-0000-00002EBE0000}"/>
    <cellStyle name="SAPBEXHLevel1X 3 2 3 2 2" xfId="50256" xr:uid="{00000000-0005-0000-0000-00002FBE0000}"/>
    <cellStyle name="SAPBEXHLevel1X 3 2 3 2 3" xfId="51430" xr:uid="{00000000-0005-0000-0000-000030BE0000}"/>
    <cellStyle name="SAPBEXHLevel1X 3 2 3 3" xfId="50625" xr:uid="{00000000-0005-0000-0000-000031BE0000}"/>
    <cellStyle name="SAPBEXHLevel1X 3 2 3 4" xfId="51208" xr:uid="{00000000-0005-0000-0000-000032BE0000}"/>
    <cellStyle name="SAPBEXHLevel1X 3 2 4" xfId="49686" xr:uid="{00000000-0005-0000-0000-000033BE0000}"/>
    <cellStyle name="SAPBEXHLevel1X 3 2 4 2" xfId="50330" xr:uid="{00000000-0005-0000-0000-000034BE0000}"/>
    <cellStyle name="SAPBEXHLevel1X 3 2 4 3" xfId="51380" xr:uid="{00000000-0005-0000-0000-000035BE0000}"/>
    <cellStyle name="SAPBEXHLevel1X 3 2 5" xfId="50000" xr:uid="{00000000-0005-0000-0000-000036BE0000}"/>
    <cellStyle name="SAPBEXHLevel1X 3 2 5 2" xfId="51045" xr:uid="{00000000-0005-0000-0000-000037BE0000}"/>
    <cellStyle name="SAPBEXHLevel1X 3 2 5 3" xfId="51297" xr:uid="{00000000-0005-0000-0000-000038BE0000}"/>
    <cellStyle name="SAPBEXHLevel1X 3 2 6" xfId="50710" xr:uid="{00000000-0005-0000-0000-000039BE0000}"/>
    <cellStyle name="SAPBEXHLevel1X 3 2 7" xfId="50920" xr:uid="{00000000-0005-0000-0000-00003ABE0000}"/>
    <cellStyle name="SAPBEXHLevel1X 3 2 8" xfId="49303" xr:uid="{00000000-0005-0000-0000-00003BBE0000}"/>
    <cellStyle name="SAPBEXHLevel1X 3 3" xfId="46290" xr:uid="{00000000-0005-0000-0000-00003CBE0000}"/>
    <cellStyle name="SAPBEXHLevel1X 3 3 2" xfId="49548" xr:uid="{00000000-0005-0000-0000-00003DBE0000}"/>
    <cellStyle name="SAPBEXHLevel1X 3 3 2 2" xfId="49876" xr:uid="{00000000-0005-0000-0000-00003EBE0000}"/>
    <cellStyle name="SAPBEXHLevel1X 3 3 2 2 2" xfId="50141" xr:uid="{00000000-0005-0000-0000-00003FBE0000}"/>
    <cellStyle name="SAPBEXHLevel1X 3 3 2 2 3" xfId="50650" xr:uid="{00000000-0005-0000-0000-000040BE0000}"/>
    <cellStyle name="SAPBEXHLevel1X 3 3 2 3" xfId="50499" xr:uid="{00000000-0005-0000-0000-000041BE0000}"/>
    <cellStyle name="SAPBEXHLevel1X 3 3 2 4" xfId="51247" xr:uid="{00000000-0005-0000-0000-000042BE0000}"/>
    <cellStyle name="SAPBEXHLevel1X 3 3 3" xfId="49595" xr:uid="{00000000-0005-0000-0000-000043BE0000}"/>
    <cellStyle name="SAPBEXHLevel1X 3 3 3 2" xfId="49923" xr:uid="{00000000-0005-0000-0000-000044BE0000}"/>
    <cellStyle name="SAPBEXHLevel1X 3 3 3 2 2" xfId="50094" xr:uid="{00000000-0005-0000-0000-000045BE0000}"/>
    <cellStyle name="SAPBEXHLevel1X 3 3 3 2 3" xfId="51110" xr:uid="{00000000-0005-0000-0000-000046BE0000}"/>
    <cellStyle name="SAPBEXHLevel1X 3 3 3 3" xfId="50452" xr:uid="{00000000-0005-0000-0000-000047BE0000}"/>
    <cellStyle name="SAPBEXHLevel1X 3 3 3 4" xfId="51666" xr:uid="{00000000-0005-0000-0000-000048BE0000}"/>
    <cellStyle name="SAPBEXHLevel1X 3 3 4" xfId="49687" xr:uid="{00000000-0005-0000-0000-000049BE0000}"/>
    <cellStyle name="SAPBEXHLevel1X 3 3 4 2" xfId="50329" xr:uid="{00000000-0005-0000-0000-00004ABE0000}"/>
    <cellStyle name="SAPBEXHLevel1X 3 3 4 3" xfId="51629" xr:uid="{00000000-0005-0000-0000-00004BBE0000}"/>
    <cellStyle name="SAPBEXHLevel1X 3 3 5" xfId="49999" xr:uid="{00000000-0005-0000-0000-00004CBE0000}"/>
    <cellStyle name="SAPBEXHLevel1X 3 3 5 2" xfId="51044" xr:uid="{00000000-0005-0000-0000-00004DBE0000}"/>
    <cellStyle name="SAPBEXHLevel1X 3 3 5 3" xfId="51122" xr:uid="{00000000-0005-0000-0000-00004EBE0000}"/>
    <cellStyle name="SAPBEXHLevel1X 3 3 6" xfId="50709" xr:uid="{00000000-0005-0000-0000-00004FBE0000}"/>
    <cellStyle name="SAPBEXHLevel1X 3 3 7" xfId="50666" xr:uid="{00000000-0005-0000-0000-000050BE0000}"/>
    <cellStyle name="SAPBEXHLevel1X 3 3 8" xfId="49304" xr:uid="{00000000-0005-0000-0000-000051BE0000}"/>
    <cellStyle name="SAPBEXHLevel1X 3 4" xfId="49305" xr:uid="{00000000-0005-0000-0000-000052BE0000}"/>
    <cellStyle name="SAPBEXHLevel1X 3 4 2" xfId="49549" xr:uid="{00000000-0005-0000-0000-000053BE0000}"/>
    <cellStyle name="SAPBEXHLevel1X 3 4 2 2" xfId="49877" xr:uid="{00000000-0005-0000-0000-000054BE0000}"/>
    <cellStyle name="SAPBEXHLevel1X 3 4 2 2 2" xfId="50140" xr:uid="{00000000-0005-0000-0000-000055BE0000}"/>
    <cellStyle name="SAPBEXHLevel1X 3 4 2 2 3" xfId="51285" xr:uid="{00000000-0005-0000-0000-000056BE0000}"/>
    <cellStyle name="SAPBEXHLevel1X 3 4 2 3" xfId="50498" xr:uid="{00000000-0005-0000-0000-000057BE0000}"/>
    <cellStyle name="SAPBEXHLevel1X 3 4 2 4" xfId="51504" xr:uid="{00000000-0005-0000-0000-000058BE0000}"/>
    <cellStyle name="SAPBEXHLevel1X 3 4 3" xfId="49420" xr:uid="{00000000-0005-0000-0000-000059BE0000}"/>
    <cellStyle name="SAPBEXHLevel1X 3 4 3 2" xfId="49748" xr:uid="{00000000-0005-0000-0000-00005ABE0000}"/>
    <cellStyle name="SAPBEXHLevel1X 3 4 3 2 2" xfId="50257" xr:uid="{00000000-0005-0000-0000-00005BBE0000}"/>
    <cellStyle name="SAPBEXHLevel1X 3 4 3 2 3" xfId="51170" xr:uid="{00000000-0005-0000-0000-00005CBE0000}"/>
    <cellStyle name="SAPBEXHLevel1X 3 4 3 3" xfId="50626" xr:uid="{00000000-0005-0000-0000-00005DBE0000}"/>
    <cellStyle name="SAPBEXHLevel1X 3 4 3 4" xfId="51487" xr:uid="{00000000-0005-0000-0000-00005EBE0000}"/>
    <cellStyle name="SAPBEXHLevel1X 3 4 4" xfId="49688" xr:uid="{00000000-0005-0000-0000-00005FBE0000}"/>
    <cellStyle name="SAPBEXHLevel1X 3 4 4 2" xfId="50328" xr:uid="{00000000-0005-0000-0000-000060BE0000}"/>
    <cellStyle name="SAPBEXHLevel1X 3 4 4 3" xfId="50815" xr:uid="{00000000-0005-0000-0000-000061BE0000}"/>
    <cellStyle name="SAPBEXHLevel1X 3 4 5" xfId="49998" xr:uid="{00000000-0005-0000-0000-000062BE0000}"/>
    <cellStyle name="SAPBEXHLevel1X 3 4 5 2" xfId="51043" xr:uid="{00000000-0005-0000-0000-000063BE0000}"/>
    <cellStyle name="SAPBEXHLevel1X 3 4 5 3" xfId="51609" xr:uid="{00000000-0005-0000-0000-000064BE0000}"/>
    <cellStyle name="SAPBEXHLevel1X 3 4 6" xfId="50708" xr:uid="{00000000-0005-0000-0000-000065BE0000}"/>
    <cellStyle name="SAPBEXHLevel1X 3 4 7" xfId="50907" xr:uid="{00000000-0005-0000-0000-000066BE0000}"/>
    <cellStyle name="SAPBEXHLevel1X 3 5" xfId="49306" xr:uid="{00000000-0005-0000-0000-000067BE0000}"/>
    <cellStyle name="SAPBEXHLevel1X 3 5 2" xfId="49550" xr:uid="{00000000-0005-0000-0000-000068BE0000}"/>
    <cellStyle name="SAPBEXHLevel1X 3 5 2 2" xfId="49878" xr:uid="{00000000-0005-0000-0000-000069BE0000}"/>
    <cellStyle name="SAPBEXHLevel1X 3 5 2 2 2" xfId="50139" xr:uid="{00000000-0005-0000-0000-00006ABE0000}"/>
    <cellStyle name="SAPBEXHLevel1X 3 5 2 2 3" xfId="51543" xr:uid="{00000000-0005-0000-0000-00006BBE0000}"/>
    <cellStyle name="SAPBEXHLevel1X 3 5 2 3" xfId="50497" xr:uid="{00000000-0005-0000-0000-00006CBE0000}"/>
    <cellStyle name="SAPBEXHLevel1X 3 5 2 4" xfId="51191" xr:uid="{00000000-0005-0000-0000-00006DBE0000}"/>
    <cellStyle name="SAPBEXHLevel1X 3 5 3" xfId="49419" xr:uid="{00000000-0005-0000-0000-00006EBE0000}"/>
    <cellStyle name="SAPBEXHLevel1X 3 5 3 2" xfId="49747" xr:uid="{00000000-0005-0000-0000-00006FBE0000}"/>
    <cellStyle name="SAPBEXHLevel1X 3 5 3 2 2" xfId="50258" xr:uid="{00000000-0005-0000-0000-000070BE0000}"/>
    <cellStyle name="SAPBEXHLevel1X 3 5 3 2 3" xfId="50977" xr:uid="{00000000-0005-0000-0000-000071BE0000}"/>
    <cellStyle name="SAPBEXHLevel1X 3 5 3 3" xfId="50627" xr:uid="{00000000-0005-0000-0000-000072BE0000}"/>
    <cellStyle name="SAPBEXHLevel1X 3 5 3 4" xfId="51230" xr:uid="{00000000-0005-0000-0000-000073BE0000}"/>
    <cellStyle name="SAPBEXHLevel1X 3 5 4" xfId="49689" xr:uid="{00000000-0005-0000-0000-000074BE0000}"/>
    <cellStyle name="SAPBEXHLevel1X 3 5 4 2" xfId="50327" xr:uid="{00000000-0005-0000-0000-000075BE0000}"/>
    <cellStyle name="SAPBEXHLevel1X 3 5 4 3" xfId="51263" xr:uid="{00000000-0005-0000-0000-000076BE0000}"/>
    <cellStyle name="SAPBEXHLevel1X 3 5 5" xfId="49997" xr:uid="{00000000-0005-0000-0000-000077BE0000}"/>
    <cellStyle name="SAPBEXHLevel1X 3 5 5 2" xfId="51042" xr:uid="{00000000-0005-0000-0000-000078BE0000}"/>
    <cellStyle name="SAPBEXHLevel1X 3 5 5 3" xfId="51414" xr:uid="{00000000-0005-0000-0000-000079BE0000}"/>
    <cellStyle name="SAPBEXHLevel1X 3 5 6" xfId="50707" xr:uid="{00000000-0005-0000-0000-00007ABE0000}"/>
    <cellStyle name="SAPBEXHLevel1X 3 5 7" xfId="50993" xr:uid="{00000000-0005-0000-0000-00007BBE0000}"/>
    <cellStyle name="SAPBEXHLevel1X 3 6" xfId="49307" xr:uid="{00000000-0005-0000-0000-00007CBE0000}"/>
    <cellStyle name="SAPBEXHLevel1X 3 6 2" xfId="49551" xr:uid="{00000000-0005-0000-0000-00007DBE0000}"/>
    <cellStyle name="SAPBEXHLevel1X 3 6 2 2" xfId="49879" xr:uid="{00000000-0005-0000-0000-00007EBE0000}"/>
    <cellStyle name="SAPBEXHLevel1X 3 6 2 2 2" xfId="50138" xr:uid="{00000000-0005-0000-0000-00007FBE0000}"/>
    <cellStyle name="SAPBEXHLevel1X 3 6 2 2 3" xfId="51317" xr:uid="{00000000-0005-0000-0000-000080BE0000}"/>
    <cellStyle name="SAPBEXHLevel1X 3 6 2 3" xfId="50496" xr:uid="{00000000-0005-0000-0000-000081BE0000}"/>
    <cellStyle name="SAPBEXHLevel1X 3 6 2 4" xfId="51449" xr:uid="{00000000-0005-0000-0000-000082BE0000}"/>
    <cellStyle name="SAPBEXHLevel1X 3 6 3" xfId="49594" xr:uid="{00000000-0005-0000-0000-000083BE0000}"/>
    <cellStyle name="SAPBEXHLevel1X 3 6 3 2" xfId="49922" xr:uid="{00000000-0005-0000-0000-000084BE0000}"/>
    <cellStyle name="SAPBEXHLevel1X 3 6 3 2 2" xfId="50095" xr:uid="{00000000-0005-0000-0000-000085BE0000}"/>
    <cellStyle name="SAPBEXHLevel1X 3 6 3 2 3" xfId="51156" xr:uid="{00000000-0005-0000-0000-000086BE0000}"/>
    <cellStyle name="SAPBEXHLevel1X 3 6 3 3" xfId="50453" xr:uid="{00000000-0005-0000-0000-000087BE0000}"/>
    <cellStyle name="SAPBEXHLevel1X 3 6 3 4" xfId="51371" xr:uid="{00000000-0005-0000-0000-000088BE0000}"/>
    <cellStyle name="SAPBEXHLevel1X 3 6 4" xfId="49690" xr:uid="{00000000-0005-0000-0000-000089BE0000}"/>
    <cellStyle name="SAPBEXHLevel1X 3 6 4 2" xfId="50326" xr:uid="{00000000-0005-0000-0000-00008ABE0000}"/>
    <cellStyle name="SAPBEXHLevel1X 3 6 4 3" xfId="51520" xr:uid="{00000000-0005-0000-0000-00008BBE0000}"/>
    <cellStyle name="SAPBEXHLevel1X 3 6 5" xfId="49996" xr:uid="{00000000-0005-0000-0000-00008CBE0000}"/>
    <cellStyle name="SAPBEXHLevel1X 3 6 5 2" xfId="51041" xr:uid="{00000000-0005-0000-0000-00008DBE0000}"/>
    <cellStyle name="SAPBEXHLevel1X 3 6 5 3" xfId="51593" xr:uid="{00000000-0005-0000-0000-00008EBE0000}"/>
    <cellStyle name="SAPBEXHLevel1X 3 6 6" xfId="50706" xr:uid="{00000000-0005-0000-0000-00008FBE0000}"/>
    <cellStyle name="SAPBEXHLevel1X 3 6 7" xfId="50797" xr:uid="{00000000-0005-0000-0000-000090BE0000}"/>
    <cellStyle name="SAPBEXHLevel1X 3 7" xfId="49308" xr:uid="{00000000-0005-0000-0000-000091BE0000}"/>
    <cellStyle name="SAPBEXHLevel1X 3 7 2" xfId="49552" xr:uid="{00000000-0005-0000-0000-000092BE0000}"/>
    <cellStyle name="SAPBEXHLevel1X 3 7 2 2" xfId="49880" xr:uid="{00000000-0005-0000-0000-000093BE0000}"/>
    <cellStyle name="SAPBEXHLevel1X 3 7 2 2 2" xfId="50137" xr:uid="{00000000-0005-0000-0000-000094BE0000}"/>
    <cellStyle name="SAPBEXHLevel1X 3 7 2 2 3" xfId="51574" xr:uid="{00000000-0005-0000-0000-000095BE0000}"/>
    <cellStyle name="SAPBEXHLevel1X 3 7 2 3" xfId="50495" xr:uid="{00000000-0005-0000-0000-000096BE0000}"/>
    <cellStyle name="SAPBEXHLevel1X 3 7 2 4" xfId="51365" xr:uid="{00000000-0005-0000-0000-000097BE0000}"/>
    <cellStyle name="SAPBEXHLevel1X 3 7 3" xfId="49418" xr:uid="{00000000-0005-0000-0000-000098BE0000}"/>
    <cellStyle name="SAPBEXHLevel1X 3 7 3 2" xfId="49746" xr:uid="{00000000-0005-0000-0000-000099BE0000}"/>
    <cellStyle name="SAPBEXHLevel1X 3 7 3 2 2" xfId="50259" xr:uid="{00000000-0005-0000-0000-00009ABE0000}"/>
    <cellStyle name="SAPBEXHLevel1X 3 7 3 2 3" xfId="51598" xr:uid="{00000000-0005-0000-0000-00009BBE0000}"/>
    <cellStyle name="SAPBEXHLevel1X 3 7 3 3" xfId="50628" xr:uid="{00000000-0005-0000-0000-00009CBE0000}"/>
    <cellStyle name="SAPBEXHLevel1X 3 7 3 4" xfId="50961" xr:uid="{00000000-0005-0000-0000-00009DBE0000}"/>
    <cellStyle name="SAPBEXHLevel1X 3 7 4" xfId="49691" xr:uid="{00000000-0005-0000-0000-00009EBE0000}"/>
    <cellStyle name="SAPBEXHLevel1X 3 7 4 2" xfId="50325" xr:uid="{00000000-0005-0000-0000-00009FBE0000}"/>
    <cellStyle name="SAPBEXHLevel1X 3 7 4 3" xfId="50652" xr:uid="{00000000-0005-0000-0000-0000A0BE0000}"/>
    <cellStyle name="SAPBEXHLevel1X 3 7 5" xfId="49969" xr:uid="{00000000-0005-0000-0000-0000A1BE0000}"/>
    <cellStyle name="SAPBEXHLevel1X 3 7 5 2" xfId="51014" xr:uid="{00000000-0005-0000-0000-0000A2BE0000}"/>
    <cellStyle name="SAPBEXHLevel1X 3 7 5 3" xfId="51581" xr:uid="{00000000-0005-0000-0000-0000A3BE0000}"/>
    <cellStyle name="SAPBEXHLevel1X 3 7 6" xfId="50705" xr:uid="{00000000-0005-0000-0000-0000A4BE0000}"/>
    <cellStyle name="SAPBEXHLevel1X 3 7 7" xfId="50798" xr:uid="{00000000-0005-0000-0000-0000A5BE0000}"/>
    <cellStyle name="SAPBEXHLevel1X 3 8" xfId="49309" xr:uid="{00000000-0005-0000-0000-0000A6BE0000}"/>
    <cellStyle name="SAPBEXHLevel1X 3 8 2" xfId="49553" xr:uid="{00000000-0005-0000-0000-0000A7BE0000}"/>
    <cellStyle name="SAPBEXHLevel1X 3 8 2 2" xfId="49881" xr:uid="{00000000-0005-0000-0000-0000A8BE0000}"/>
    <cellStyle name="SAPBEXHLevel1X 3 8 2 2 2" xfId="50136" xr:uid="{00000000-0005-0000-0000-0000A9BE0000}"/>
    <cellStyle name="SAPBEXHLevel1X 3 8 2 2 3" xfId="51404" xr:uid="{00000000-0005-0000-0000-0000AABE0000}"/>
    <cellStyle name="SAPBEXHLevel1X 3 8 2 3" xfId="50494" xr:uid="{00000000-0005-0000-0000-0000ABBE0000}"/>
    <cellStyle name="SAPBEXHLevel1X 3 8 2 4" xfId="51641" xr:uid="{00000000-0005-0000-0000-0000ACBE0000}"/>
    <cellStyle name="SAPBEXHLevel1X 3 8 3" xfId="49417" xr:uid="{00000000-0005-0000-0000-0000ADBE0000}"/>
    <cellStyle name="SAPBEXHLevel1X 3 8 3 2" xfId="49745" xr:uid="{00000000-0005-0000-0000-0000AEBE0000}"/>
    <cellStyle name="SAPBEXHLevel1X 3 8 3 2 2" xfId="50260" xr:uid="{00000000-0005-0000-0000-0000AFBE0000}"/>
    <cellStyle name="SAPBEXHLevel1X 3 8 3 2 3" xfId="51387" xr:uid="{00000000-0005-0000-0000-0000B0BE0000}"/>
    <cellStyle name="SAPBEXHLevel1X 3 8 3 3" xfId="50629" xr:uid="{00000000-0005-0000-0000-0000B1BE0000}"/>
    <cellStyle name="SAPBEXHLevel1X 3 8 3 4" xfId="51658" xr:uid="{00000000-0005-0000-0000-0000B2BE0000}"/>
    <cellStyle name="SAPBEXHLevel1X 3 8 4" xfId="49692" xr:uid="{00000000-0005-0000-0000-0000B3BE0000}"/>
    <cellStyle name="SAPBEXHLevel1X 3 8 4 2" xfId="50324" xr:uid="{00000000-0005-0000-0000-0000B4BE0000}"/>
    <cellStyle name="SAPBEXHLevel1X 3 8 4 3" xfId="51305" xr:uid="{00000000-0005-0000-0000-0000B5BE0000}"/>
    <cellStyle name="SAPBEXHLevel1X 3 8 5" xfId="49995" xr:uid="{00000000-0005-0000-0000-0000B6BE0000}"/>
    <cellStyle name="SAPBEXHLevel1X 3 8 5 2" xfId="51040" xr:uid="{00000000-0005-0000-0000-0000B7BE0000}"/>
    <cellStyle name="SAPBEXHLevel1X 3 8 5 3" xfId="51338" xr:uid="{00000000-0005-0000-0000-0000B8BE0000}"/>
    <cellStyle name="SAPBEXHLevel1X 3 8 6" xfId="50704" xr:uid="{00000000-0005-0000-0000-0000B9BE0000}"/>
    <cellStyle name="SAPBEXHLevel1X 3 8 7" xfId="50799" xr:uid="{00000000-0005-0000-0000-0000BABE0000}"/>
    <cellStyle name="SAPBEXHLevel1X 3 9" xfId="49546" xr:uid="{00000000-0005-0000-0000-0000BBBE0000}"/>
    <cellStyle name="SAPBEXHLevel1X 3 9 2" xfId="49874" xr:uid="{00000000-0005-0000-0000-0000BCBE0000}"/>
    <cellStyle name="SAPBEXHLevel1X 3 9 2 2" xfId="50143" xr:uid="{00000000-0005-0000-0000-0000BDBE0000}"/>
    <cellStyle name="SAPBEXHLevel1X 3 9 2 3" xfId="51403" xr:uid="{00000000-0005-0000-0000-0000BEBE0000}"/>
    <cellStyle name="SAPBEXHLevel1X 3 9 3" xfId="50501" xr:uid="{00000000-0005-0000-0000-0000BFBE0000}"/>
    <cellStyle name="SAPBEXHLevel1X 3 9 4" xfId="51642"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300" xr:uid="{00000000-0005-0000-0000-0000C5BE0000}"/>
    <cellStyle name="SAPBEXHLevel1X 4" xfId="46295" xr:uid="{00000000-0005-0000-0000-0000C6BE0000}"/>
    <cellStyle name="SAPBEXHLevel1X 4 2" xfId="46296" xr:uid="{00000000-0005-0000-0000-0000C7BE0000}"/>
    <cellStyle name="SAPBEXHLevel1X 4 2 2" xfId="50145" xr:uid="{00000000-0005-0000-0000-0000C8BE0000}"/>
    <cellStyle name="SAPBEXHLevel1X 4 2 3" xfId="51316" xr:uid="{00000000-0005-0000-0000-0000C9BE0000}"/>
    <cellStyle name="SAPBEXHLevel1X 4 2 4" xfId="49872" xr:uid="{00000000-0005-0000-0000-0000CABE0000}"/>
    <cellStyle name="SAPBEXHLevel1X 4 3" xfId="50503" xr:uid="{00000000-0005-0000-0000-0000CBBE0000}"/>
    <cellStyle name="SAPBEXHLevel1X 4 4" xfId="51450" xr:uid="{00000000-0005-0000-0000-0000CCBE0000}"/>
    <cellStyle name="SAPBEXHLevel1X 4 5" xfId="49544" xr:uid="{00000000-0005-0000-0000-0000CDBE0000}"/>
    <cellStyle name="SAPBEXHLevel1X 5" xfId="46297" xr:uid="{00000000-0005-0000-0000-0000CEBE0000}"/>
    <cellStyle name="SAPBEXHLevel1X 5 2" xfId="46298" xr:uid="{00000000-0005-0000-0000-0000CFBE0000}"/>
    <cellStyle name="SAPBEXHLevel1X 5 2 2" xfId="50253" xr:uid="{00000000-0005-0000-0000-0000D0BE0000}"/>
    <cellStyle name="SAPBEXHLevel1X 5 2 3" xfId="50817" xr:uid="{00000000-0005-0000-0000-0000D1BE0000}"/>
    <cellStyle name="SAPBEXHLevel1X 5 2 4" xfId="49752" xr:uid="{00000000-0005-0000-0000-0000D2BE0000}"/>
    <cellStyle name="SAPBEXHLevel1X 5 3" xfId="50622" xr:uid="{00000000-0005-0000-0000-0000D3BE0000}"/>
    <cellStyle name="SAPBEXHLevel1X 5 4" xfId="51564" xr:uid="{00000000-0005-0000-0000-0000D4BE0000}"/>
    <cellStyle name="SAPBEXHLevel1X 5 5" xfId="49424" xr:uid="{00000000-0005-0000-0000-0000D5BE0000}"/>
    <cellStyle name="SAPBEXHLevel1X 6" xfId="46299" xr:uid="{00000000-0005-0000-0000-0000D6BE0000}"/>
    <cellStyle name="SAPBEXHLevel1X 6 2" xfId="46300" xr:uid="{00000000-0005-0000-0000-0000D7BE0000}"/>
    <cellStyle name="SAPBEXHLevel1X 6 2 2" xfId="50338" xr:uid="{00000000-0005-0000-0000-0000D8BE0000}"/>
    <cellStyle name="SAPBEXHLevel1X 6 3" xfId="51519" xr:uid="{00000000-0005-0000-0000-0000D9BE0000}"/>
    <cellStyle name="SAPBEXHLevel1X 6 4" xfId="49683" xr:uid="{00000000-0005-0000-0000-0000DABE0000}"/>
    <cellStyle name="SAPBEXHLevel1X 7" xfId="46301" xr:uid="{00000000-0005-0000-0000-0000DBBE0000}"/>
    <cellStyle name="SAPBEXHLevel1X 7 2" xfId="46302" xr:uid="{00000000-0005-0000-0000-0000DCBE0000}"/>
    <cellStyle name="SAPBEXHLevel1X 7 2 2" xfId="51047" xr:uid="{00000000-0005-0000-0000-0000DDBE0000}"/>
    <cellStyle name="SAPBEXHLevel1X 7 3" xfId="51328" xr:uid="{00000000-0005-0000-0000-0000DEBE0000}"/>
    <cellStyle name="SAPBEXHLevel1X 7 4" xfId="50002" xr:uid="{00000000-0005-0000-0000-0000DFBE0000}"/>
    <cellStyle name="SAPBEXHLevel1X 8" xfId="46303" xr:uid="{00000000-0005-0000-0000-0000E0BE0000}"/>
    <cellStyle name="SAPBEXHLevel1X 8 2" xfId="46304" xr:uid="{00000000-0005-0000-0000-0000E1BE0000}"/>
    <cellStyle name="SAPBEXHLevel1X 8 3" xfId="50713" xr:uid="{00000000-0005-0000-0000-0000E2BE0000}"/>
    <cellStyle name="SAPBEXHLevel1X 9" xfId="46305" xr:uid="{00000000-0005-0000-0000-0000E3BE0000}"/>
    <cellStyle name="SAPBEXHLevel1X 9 2" xfId="46306" xr:uid="{00000000-0005-0000-0000-0000E4BE0000}"/>
    <cellStyle name="SAPBEXHLevel1X 9 3" xfId="50944"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9"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4" xr:uid="{00000000-0005-0000-0000-000000BF0000}"/>
    <cellStyle name="SAPBEXHLevel2 2 2 2 3" xfId="50918" xr:uid="{00000000-0005-0000-0000-000001BF0000}"/>
    <cellStyle name="SAPBEXHLevel2 2 2 2 4" xfId="49883" xr:uid="{00000000-0005-0000-0000-000002BF0000}"/>
    <cellStyle name="SAPBEXHLevel2 2 2 3" xfId="46331" xr:uid="{00000000-0005-0000-0000-000003BF0000}"/>
    <cellStyle name="SAPBEXHLevel2 2 2 3 2" xfId="50492" xr:uid="{00000000-0005-0000-0000-000004BF0000}"/>
    <cellStyle name="SAPBEXHLevel2 2 2 4" xfId="51248" xr:uid="{00000000-0005-0000-0000-000005BF0000}"/>
    <cellStyle name="SAPBEXHLevel2 2 2 5" xfId="49555"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2" xr:uid="{00000000-0005-0000-0000-000013BF0000}"/>
    <cellStyle name="SAPBEXHLevel2 2 3 2 3" xfId="51171" xr:uid="{00000000-0005-0000-0000-000014BF0000}"/>
    <cellStyle name="SAPBEXHLevel2 2 3 2 4" xfId="49743" xr:uid="{00000000-0005-0000-0000-000015BF0000}"/>
    <cellStyle name="SAPBEXHLevel2 2 3 3" xfId="50631" xr:uid="{00000000-0005-0000-0000-000016BF0000}"/>
    <cellStyle name="SAPBEXHLevel2 2 3 4" xfId="51467" xr:uid="{00000000-0005-0000-0000-000017BF0000}"/>
    <cellStyle name="SAPBEXHLevel2 2 3 5" xfId="49415"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1" xr:uid="{00000000-0005-0000-0000-00001CBF0000}"/>
    <cellStyle name="SAPBEXHLevel2 2 4" xfId="46347" xr:uid="{00000000-0005-0000-0000-00001DBF0000}"/>
    <cellStyle name="SAPBEXHLevel2 2 4 2" xfId="46348" xr:uid="{00000000-0005-0000-0000-00001EBF0000}"/>
    <cellStyle name="SAPBEXHLevel2 2 4 2 2" xfId="50321" xr:uid="{00000000-0005-0000-0000-00001FBF0000}"/>
    <cellStyle name="SAPBEXHLevel2 2 4 3" xfId="51381" xr:uid="{00000000-0005-0000-0000-000020BF0000}"/>
    <cellStyle name="SAPBEXHLevel2 2 4 4" xfId="49694" xr:uid="{00000000-0005-0000-0000-000021BF0000}"/>
    <cellStyle name="SAPBEXHLevel2 2 5" xfId="46349" xr:uid="{00000000-0005-0000-0000-000022BF0000}"/>
    <cellStyle name="SAPBEXHLevel2 2 5 2" xfId="46350" xr:uid="{00000000-0005-0000-0000-000023BF0000}"/>
    <cellStyle name="SAPBEXHLevel2 2 5 2 2" xfId="51039" xr:uid="{00000000-0005-0000-0000-000024BF0000}"/>
    <cellStyle name="SAPBEXHLevel2 2 5 3" xfId="51584" xr:uid="{00000000-0005-0000-0000-000025BF0000}"/>
    <cellStyle name="SAPBEXHLevel2 2 5 4" xfId="49994" xr:uid="{00000000-0005-0000-0000-000026BF0000}"/>
    <cellStyle name="SAPBEXHLevel2 2 6" xfId="46351" xr:uid="{00000000-0005-0000-0000-000027BF0000}"/>
    <cellStyle name="SAPBEXHLevel2 2 6 2" xfId="46352" xr:uid="{00000000-0005-0000-0000-000028BF0000}"/>
    <cellStyle name="SAPBEXHLevel2 2 6 3" xfId="50702" xr:uid="{00000000-0005-0000-0000-000029BF0000}"/>
    <cellStyle name="SAPBEXHLevel2 2 7" xfId="46353" xr:uid="{00000000-0005-0000-0000-00002ABF0000}"/>
    <cellStyle name="SAPBEXHLevel2 2 7 2" xfId="46354" xr:uid="{00000000-0005-0000-0000-00002BBF0000}"/>
    <cellStyle name="SAPBEXHLevel2 2 7 3" xfId="50800"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5" xr:uid="{00000000-0005-0000-0000-00003CBF0000}"/>
    <cellStyle name="SAPBEXHLevel2 3 2 3" xfId="51614" xr:uid="{00000000-0005-0000-0000-00003DBF0000}"/>
    <cellStyle name="SAPBEXHLevel2 3 2 4" xfId="49882" xr:uid="{00000000-0005-0000-0000-00003EBF0000}"/>
    <cellStyle name="SAPBEXHLevel2 3 3" xfId="46370" xr:uid="{00000000-0005-0000-0000-00003FBF0000}"/>
    <cellStyle name="SAPBEXHLevel2 3 3 2" xfId="50493" xr:uid="{00000000-0005-0000-0000-000040BF0000}"/>
    <cellStyle name="SAPBEXHLevel2 3 4" xfId="50951" xr:uid="{00000000-0005-0000-0000-000041BF0000}"/>
    <cellStyle name="SAPBEXHLevel2 3 5" xfId="49554"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10" xr:uid="{00000000-0005-0000-0000-000047BF0000}"/>
    <cellStyle name="SAPBEXHLevel2 4" xfId="46375" xr:uid="{00000000-0005-0000-0000-000048BF0000}"/>
    <cellStyle name="SAPBEXHLevel2 4 2" xfId="46376" xr:uid="{00000000-0005-0000-0000-000049BF0000}"/>
    <cellStyle name="SAPBEXHLevel2 4 2 2" xfId="50261" xr:uid="{00000000-0005-0000-0000-00004ABF0000}"/>
    <cellStyle name="SAPBEXHLevel2 4 2 3" xfId="51431" xr:uid="{00000000-0005-0000-0000-00004BBF0000}"/>
    <cellStyle name="SAPBEXHLevel2 4 2 4" xfId="49744" xr:uid="{00000000-0005-0000-0000-00004CBF0000}"/>
    <cellStyle name="SAPBEXHLevel2 4 3" xfId="50630" xr:uid="{00000000-0005-0000-0000-00004DBF0000}"/>
    <cellStyle name="SAPBEXHLevel2 4 4" xfId="51347" xr:uid="{00000000-0005-0000-0000-00004EBF0000}"/>
    <cellStyle name="SAPBEXHLevel2 4 5" xfId="49416" xr:uid="{00000000-0005-0000-0000-00004FBF0000}"/>
    <cellStyle name="SAPBEXHLevel2 5" xfId="46377" xr:uid="{00000000-0005-0000-0000-000050BF0000}"/>
    <cellStyle name="SAPBEXHLevel2 5 2" xfId="46378" xr:uid="{00000000-0005-0000-0000-000051BF0000}"/>
    <cellStyle name="SAPBEXHLevel2 5 2 2" xfId="50111" xr:uid="{00000000-0005-0000-0000-000052BF0000}"/>
    <cellStyle name="SAPBEXHLevel2 5 2 3" xfId="51279" xr:uid="{00000000-0005-0000-0000-000053BF0000}"/>
    <cellStyle name="SAPBEXHLevel2 5 2 4" xfId="49906" xr:uid="{00000000-0005-0000-0000-000054BF0000}"/>
    <cellStyle name="SAPBEXHLevel2 5 3" xfId="50469" xr:uid="{00000000-0005-0000-0000-000055BF0000}"/>
    <cellStyle name="SAPBEXHLevel2 5 4" xfId="51187" xr:uid="{00000000-0005-0000-0000-000056BF0000}"/>
    <cellStyle name="SAPBEXHLevel2 5 5" xfId="49578" xr:uid="{00000000-0005-0000-0000-000057BF0000}"/>
    <cellStyle name="SAPBEXHLevel2 6" xfId="46379" xr:uid="{00000000-0005-0000-0000-000058BF0000}"/>
    <cellStyle name="SAPBEXHLevel2 6 2" xfId="46380" xr:uid="{00000000-0005-0000-0000-000059BF0000}"/>
    <cellStyle name="SAPBEXHLevel2 6 2 2" xfId="50322" xr:uid="{00000000-0005-0000-0000-00005ABF0000}"/>
    <cellStyle name="SAPBEXHLevel2 6 3" xfId="51562" xr:uid="{00000000-0005-0000-0000-00005BBF0000}"/>
    <cellStyle name="SAPBEXHLevel2 6 4" xfId="49693" xr:uid="{00000000-0005-0000-0000-00005CBF0000}"/>
    <cellStyle name="SAPBEXHLevel2 7" xfId="46381" xr:uid="{00000000-0005-0000-0000-00005DBF0000}"/>
    <cellStyle name="SAPBEXHLevel2 7 2" xfId="46382" xr:uid="{00000000-0005-0000-0000-00005EBF0000}"/>
    <cellStyle name="SAPBEXHLevel2 7 2 2" xfId="51010" xr:uid="{00000000-0005-0000-0000-00005FBF0000}"/>
    <cellStyle name="SAPBEXHLevel2 7 3" xfId="51420" xr:uid="{00000000-0005-0000-0000-000060BF0000}"/>
    <cellStyle name="SAPBEXHLevel2 7 4" xfId="49965" xr:uid="{00000000-0005-0000-0000-000061BF0000}"/>
    <cellStyle name="SAPBEXHLevel2 8" xfId="46383" xr:uid="{00000000-0005-0000-0000-000062BF0000}"/>
    <cellStyle name="SAPBEXHLevel2 8 2" xfId="46384" xr:uid="{00000000-0005-0000-0000-000063BF0000}"/>
    <cellStyle name="SAPBEXHLevel2 8 3" xfId="50703" xr:uid="{00000000-0005-0000-0000-000064BF0000}"/>
    <cellStyle name="SAPBEXHLevel2 9" xfId="46385" xr:uid="{00000000-0005-0000-0000-000065BF0000}"/>
    <cellStyle name="SAPBEXHLevel2 9 2" xfId="46386" xr:uid="{00000000-0005-0000-0000-000066BF0000}"/>
    <cellStyle name="SAPBEXHLevel2 9 3" xfId="50844"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2" xr:uid="{00000000-0005-0000-0000-000081BF0000}"/>
    <cellStyle name="SAPBEXHLevel2X 2 2 2 3" xfId="51544" xr:uid="{00000000-0005-0000-0000-000082BF0000}"/>
    <cellStyle name="SAPBEXHLevel2X 2 2 2 4" xfId="49885" xr:uid="{00000000-0005-0000-0000-000083BF0000}"/>
    <cellStyle name="SAPBEXHLevel2X 2 2 3" xfId="46411" xr:uid="{00000000-0005-0000-0000-000084BF0000}"/>
    <cellStyle name="SAPBEXHLevel2X 2 2 3 2" xfId="50490" xr:uid="{00000000-0005-0000-0000-000085BF0000}"/>
    <cellStyle name="SAPBEXHLevel2X 2 2 4" xfId="51190" xr:uid="{00000000-0005-0000-0000-000086BF0000}"/>
    <cellStyle name="SAPBEXHLevel2X 2 2 5" xfId="49557"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4" xr:uid="{00000000-0005-0000-0000-000094BF0000}"/>
    <cellStyle name="SAPBEXHLevel2X 2 3 2 3" xfId="51268" xr:uid="{00000000-0005-0000-0000-000095BF0000}"/>
    <cellStyle name="SAPBEXHLevel2X 2 3 2 4" xfId="49741" xr:uid="{00000000-0005-0000-0000-000096BF0000}"/>
    <cellStyle name="SAPBEXHLevel2X 2 3 3" xfId="50633" xr:uid="{00000000-0005-0000-0000-000097BF0000}"/>
    <cellStyle name="SAPBEXHLevel2X 2 3 4" xfId="51486" xr:uid="{00000000-0005-0000-0000-000098BF0000}"/>
    <cellStyle name="SAPBEXHLevel2X 2 3 5" xfId="49413"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3" xr:uid="{00000000-0005-0000-0000-00009DBF0000}"/>
    <cellStyle name="SAPBEXHLevel2X 2 4" xfId="46427" xr:uid="{00000000-0005-0000-0000-00009EBF0000}"/>
    <cellStyle name="SAPBEXHLevel2X 2 4 2" xfId="46428" xr:uid="{00000000-0005-0000-0000-00009FBF0000}"/>
    <cellStyle name="SAPBEXHLevel2X 2 4 2 2" xfId="50319" xr:uid="{00000000-0005-0000-0000-0000A0BF0000}"/>
    <cellStyle name="SAPBEXHLevel2X 2 4 3" xfId="50816" xr:uid="{00000000-0005-0000-0000-0000A1BF0000}"/>
    <cellStyle name="SAPBEXHLevel2X 2 4 4" xfId="49696" xr:uid="{00000000-0005-0000-0000-0000A2BF0000}"/>
    <cellStyle name="SAPBEXHLevel2X 2 5" xfId="46429" xr:uid="{00000000-0005-0000-0000-0000A3BF0000}"/>
    <cellStyle name="SAPBEXHLevel2X 2 5 2" xfId="46430" xr:uid="{00000000-0005-0000-0000-0000A4BF0000}"/>
    <cellStyle name="SAPBEXHLevel2X 2 5 2 2" xfId="51009" xr:uid="{00000000-0005-0000-0000-0000A5BF0000}"/>
    <cellStyle name="SAPBEXHLevel2X 2 5 3" xfId="51293" xr:uid="{00000000-0005-0000-0000-0000A6BF0000}"/>
    <cellStyle name="SAPBEXHLevel2X 2 5 4" xfId="49964" xr:uid="{00000000-0005-0000-0000-0000A7BF0000}"/>
    <cellStyle name="SAPBEXHLevel2X 2 6" xfId="46431" xr:uid="{00000000-0005-0000-0000-0000A8BF0000}"/>
    <cellStyle name="SAPBEXHLevel2X 2 6 2" xfId="46432" xr:uid="{00000000-0005-0000-0000-0000A9BF0000}"/>
    <cellStyle name="SAPBEXHLevel2X 2 6 3" xfId="50700" xr:uid="{00000000-0005-0000-0000-0000AABF0000}"/>
    <cellStyle name="SAPBEXHLevel2X 2 7" xfId="46433" xr:uid="{00000000-0005-0000-0000-0000ABBF0000}"/>
    <cellStyle name="SAPBEXHLevel2X 2 7 2" xfId="46434" xr:uid="{00000000-0005-0000-0000-0000ACBF0000}"/>
    <cellStyle name="SAPBEXHLevel2X 2 7 3" xfId="50845"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2" xr:uid="{00000000-0005-0000-0000-0000BCBF0000}"/>
    <cellStyle name="SAPBEXHLevel2X 3 10 2" xfId="49740" xr:uid="{00000000-0005-0000-0000-0000BDBF0000}"/>
    <cellStyle name="SAPBEXHLevel2X 3 10 2 2" xfId="50265" xr:uid="{00000000-0005-0000-0000-0000BEBF0000}"/>
    <cellStyle name="SAPBEXHLevel2X 3 10 2 3" xfId="50647" xr:uid="{00000000-0005-0000-0000-0000BFBF0000}"/>
    <cellStyle name="SAPBEXHLevel2X 3 10 3" xfId="50634" xr:uid="{00000000-0005-0000-0000-0000C0BF0000}"/>
    <cellStyle name="SAPBEXHLevel2X 3 10 4" xfId="51229" xr:uid="{00000000-0005-0000-0000-0000C1BF0000}"/>
    <cellStyle name="SAPBEXHLevel2X 3 11" xfId="49697" xr:uid="{00000000-0005-0000-0000-0000C2BF0000}"/>
    <cellStyle name="SAPBEXHLevel2X 3 11 2" xfId="50318" xr:uid="{00000000-0005-0000-0000-0000C3BF0000}"/>
    <cellStyle name="SAPBEXHLevel2X 3 11 3" xfId="51138" xr:uid="{00000000-0005-0000-0000-0000C4BF0000}"/>
    <cellStyle name="SAPBEXHLevel2X 3 12" xfId="49992" xr:uid="{00000000-0005-0000-0000-0000C5BF0000}"/>
    <cellStyle name="SAPBEXHLevel2X 3 12 2" xfId="51037" xr:uid="{00000000-0005-0000-0000-0000C6BF0000}"/>
    <cellStyle name="SAPBEXHLevel2X 3 12 3" xfId="51554" xr:uid="{00000000-0005-0000-0000-0000C7BF0000}"/>
    <cellStyle name="SAPBEXHLevel2X 3 13" xfId="50699" xr:uid="{00000000-0005-0000-0000-0000C8BF0000}"/>
    <cellStyle name="SAPBEXHLevel2X 3 14" xfId="50660" xr:uid="{00000000-0005-0000-0000-0000C9BF0000}"/>
    <cellStyle name="SAPBEXHLevel2X 3 15" xfId="49314" xr:uid="{00000000-0005-0000-0000-0000CABF0000}"/>
    <cellStyle name="SAPBEXHLevel2X 3 2" xfId="46449" xr:uid="{00000000-0005-0000-0000-0000CBBF0000}"/>
    <cellStyle name="SAPBEXHLevel2X 3 2 2" xfId="49559" xr:uid="{00000000-0005-0000-0000-0000CCBF0000}"/>
    <cellStyle name="SAPBEXHLevel2X 3 2 2 2" xfId="49887" xr:uid="{00000000-0005-0000-0000-0000CDBF0000}"/>
    <cellStyle name="SAPBEXHLevel2X 3 2 2 2 2" xfId="50130" xr:uid="{00000000-0005-0000-0000-0000CEBF0000}"/>
    <cellStyle name="SAPBEXHLevel2X 3 2 2 2 3" xfId="51575" xr:uid="{00000000-0005-0000-0000-0000CFBF0000}"/>
    <cellStyle name="SAPBEXHLevel2X 3 2 2 3" xfId="50488" xr:uid="{00000000-0005-0000-0000-0000D0BF0000}"/>
    <cellStyle name="SAPBEXHLevel2X 3 2 2 4" xfId="51366" xr:uid="{00000000-0005-0000-0000-0000D1BF0000}"/>
    <cellStyle name="SAPBEXHLevel2X 3 2 3" xfId="49411" xr:uid="{00000000-0005-0000-0000-0000D2BF0000}"/>
    <cellStyle name="SAPBEXHLevel2X 3 2 3 2" xfId="49739" xr:uid="{00000000-0005-0000-0000-0000D3BF0000}"/>
    <cellStyle name="SAPBEXHLevel2X 3 2 3 2 2" xfId="50266" xr:uid="{00000000-0005-0000-0000-0000D4BF0000}"/>
    <cellStyle name="SAPBEXHLevel2X 3 2 3 2 3" xfId="50917" xr:uid="{00000000-0005-0000-0000-0000D5BF0000}"/>
    <cellStyle name="SAPBEXHLevel2X 3 2 3 3" xfId="50635" xr:uid="{00000000-0005-0000-0000-0000D6BF0000}"/>
    <cellStyle name="SAPBEXHLevel2X 3 2 3 4" xfId="50889" xr:uid="{00000000-0005-0000-0000-0000D7BF0000}"/>
    <cellStyle name="SAPBEXHLevel2X 3 2 4" xfId="49698" xr:uid="{00000000-0005-0000-0000-0000D8BF0000}"/>
    <cellStyle name="SAPBEXHLevel2X 3 2 4 2" xfId="50317" xr:uid="{00000000-0005-0000-0000-0000D9BF0000}"/>
    <cellStyle name="SAPBEXHLevel2X 3 2 4 3" xfId="51264" xr:uid="{00000000-0005-0000-0000-0000DABF0000}"/>
    <cellStyle name="SAPBEXHLevel2X 3 2 5" xfId="50048" xr:uid="{00000000-0005-0000-0000-0000DBBF0000}"/>
    <cellStyle name="SAPBEXHLevel2X 3 2 5 2" xfId="51092" xr:uid="{00000000-0005-0000-0000-0000DCBF0000}"/>
    <cellStyle name="SAPBEXHLevel2X 3 2 5 3" xfId="51559" xr:uid="{00000000-0005-0000-0000-0000DDBF0000}"/>
    <cellStyle name="SAPBEXHLevel2X 3 2 6" xfId="50698" xr:uid="{00000000-0005-0000-0000-0000DEBF0000}"/>
    <cellStyle name="SAPBEXHLevel2X 3 2 7" xfId="50802" xr:uid="{00000000-0005-0000-0000-0000DFBF0000}"/>
    <cellStyle name="SAPBEXHLevel2X 3 2 8" xfId="49315" xr:uid="{00000000-0005-0000-0000-0000E0BF0000}"/>
    <cellStyle name="SAPBEXHLevel2X 3 3" xfId="46450" xr:uid="{00000000-0005-0000-0000-0000E1BF0000}"/>
    <cellStyle name="SAPBEXHLevel2X 3 3 2" xfId="49560" xr:uid="{00000000-0005-0000-0000-0000E2BF0000}"/>
    <cellStyle name="SAPBEXHLevel2X 3 3 2 2" xfId="49888" xr:uid="{00000000-0005-0000-0000-0000E3BF0000}"/>
    <cellStyle name="SAPBEXHLevel2X 3 3 2 2 2" xfId="50129" xr:uid="{00000000-0005-0000-0000-0000E4BF0000}"/>
    <cellStyle name="SAPBEXHLevel2X 3 3 2 2 3" xfId="51405" xr:uid="{00000000-0005-0000-0000-0000E5BF0000}"/>
    <cellStyle name="SAPBEXHLevel2X 3 3 2 3" xfId="50487" xr:uid="{00000000-0005-0000-0000-0000E6BF0000}"/>
    <cellStyle name="SAPBEXHLevel2X 3 3 2 4" xfId="51640" xr:uid="{00000000-0005-0000-0000-0000E7BF0000}"/>
    <cellStyle name="SAPBEXHLevel2X 3 3 3" xfId="49410" xr:uid="{00000000-0005-0000-0000-0000E8BF0000}"/>
    <cellStyle name="SAPBEXHLevel2X 3 3 3 2" xfId="49738" xr:uid="{00000000-0005-0000-0000-0000E9BF0000}"/>
    <cellStyle name="SAPBEXHLevel2X 3 3 3 2 2" xfId="50267" xr:uid="{00000000-0005-0000-0000-0000EABF0000}"/>
    <cellStyle name="SAPBEXHLevel2X 3 3 3 2 3" xfId="51599" xr:uid="{00000000-0005-0000-0000-0000EBBF0000}"/>
    <cellStyle name="SAPBEXHLevel2X 3 3 3 3" xfId="50636" xr:uid="{00000000-0005-0000-0000-0000ECBF0000}"/>
    <cellStyle name="SAPBEXHLevel2X 3 3 3 4" xfId="51659" xr:uid="{00000000-0005-0000-0000-0000EDBF0000}"/>
    <cellStyle name="SAPBEXHLevel2X 3 3 4" xfId="49699" xr:uid="{00000000-0005-0000-0000-0000EEBF0000}"/>
    <cellStyle name="SAPBEXHLevel2X 3 3 4 2" xfId="50316" xr:uid="{00000000-0005-0000-0000-0000EFBF0000}"/>
    <cellStyle name="SAPBEXHLevel2X 3 3 4 3" xfId="51521" xr:uid="{00000000-0005-0000-0000-0000F0BF0000}"/>
    <cellStyle name="SAPBEXHLevel2X 3 3 5" xfId="49991" xr:uid="{00000000-0005-0000-0000-0000F1BF0000}"/>
    <cellStyle name="SAPBEXHLevel2X 3 3 5 2" xfId="51036" xr:uid="{00000000-0005-0000-0000-0000F2BF0000}"/>
    <cellStyle name="SAPBEXHLevel2X 3 3 5 3" xfId="51296" xr:uid="{00000000-0005-0000-0000-0000F3BF0000}"/>
    <cellStyle name="SAPBEXHLevel2X 3 3 6" xfId="50697" xr:uid="{00000000-0005-0000-0000-0000F4BF0000}"/>
    <cellStyle name="SAPBEXHLevel2X 3 3 7" xfId="50966" xr:uid="{00000000-0005-0000-0000-0000F5BF0000}"/>
    <cellStyle name="SAPBEXHLevel2X 3 3 8" xfId="49316" xr:uid="{00000000-0005-0000-0000-0000F6BF0000}"/>
    <cellStyle name="SAPBEXHLevel2X 3 4" xfId="49317" xr:uid="{00000000-0005-0000-0000-0000F7BF0000}"/>
    <cellStyle name="SAPBEXHLevel2X 3 4 2" xfId="49561" xr:uid="{00000000-0005-0000-0000-0000F8BF0000}"/>
    <cellStyle name="SAPBEXHLevel2X 3 4 2 2" xfId="49889" xr:uid="{00000000-0005-0000-0000-0000F9BF0000}"/>
    <cellStyle name="SAPBEXHLevel2X 3 4 2 2 2" xfId="50128" xr:uid="{00000000-0005-0000-0000-0000FABF0000}"/>
    <cellStyle name="SAPBEXHLevel2X 3 4 2 2 3" xfId="51664" xr:uid="{00000000-0005-0000-0000-0000FBBF0000}"/>
    <cellStyle name="SAPBEXHLevel2X 3 4 2 3" xfId="50486" xr:uid="{00000000-0005-0000-0000-0000FCBF0000}"/>
    <cellStyle name="SAPBEXHLevel2X 3 4 2 4" xfId="50892" xr:uid="{00000000-0005-0000-0000-0000FDBF0000}"/>
    <cellStyle name="SAPBEXHLevel2X 3 4 3" xfId="49409" xr:uid="{00000000-0005-0000-0000-0000FEBF0000}"/>
    <cellStyle name="SAPBEXHLevel2X 3 4 3 2" xfId="49737" xr:uid="{00000000-0005-0000-0000-0000FFBF0000}"/>
    <cellStyle name="SAPBEXHLevel2X 3 4 3 2 2" xfId="50268" xr:uid="{00000000-0005-0000-0000-000000C00000}"/>
    <cellStyle name="SAPBEXHLevel2X 3 4 3 2 3" xfId="51384" xr:uid="{00000000-0005-0000-0000-000001C00000}"/>
    <cellStyle name="SAPBEXHLevel2X 3 4 3 3" xfId="50637" xr:uid="{00000000-0005-0000-0000-000002C00000}"/>
    <cellStyle name="SAPBEXHLevel2X 3 4 3 4" xfId="51346" xr:uid="{00000000-0005-0000-0000-000003C00000}"/>
    <cellStyle name="SAPBEXHLevel2X 3 4 4" xfId="49700" xr:uid="{00000000-0005-0000-0000-000004C00000}"/>
    <cellStyle name="SAPBEXHLevel2X 3 4 4 2" xfId="50315" xr:uid="{00000000-0005-0000-0000-000005C00000}"/>
    <cellStyle name="SAPBEXHLevel2X 3 4 4 3" xfId="51176" xr:uid="{00000000-0005-0000-0000-000006C00000}"/>
    <cellStyle name="SAPBEXHLevel2X 3 4 5" xfId="49990" xr:uid="{00000000-0005-0000-0000-000007C00000}"/>
    <cellStyle name="SAPBEXHLevel2X 3 4 5 2" xfId="51035" xr:uid="{00000000-0005-0000-0000-000008C00000}"/>
    <cellStyle name="SAPBEXHLevel2X 3 4 5 3" xfId="51121" xr:uid="{00000000-0005-0000-0000-000009C00000}"/>
    <cellStyle name="SAPBEXHLevel2X 3 4 6" xfId="50696" xr:uid="{00000000-0005-0000-0000-00000AC00000}"/>
    <cellStyle name="SAPBEXHLevel2X 3 4 7" xfId="50846" xr:uid="{00000000-0005-0000-0000-00000BC00000}"/>
    <cellStyle name="SAPBEXHLevel2X 3 5" xfId="49318" xr:uid="{00000000-0005-0000-0000-00000CC00000}"/>
    <cellStyle name="SAPBEXHLevel2X 3 5 2" xfId="49562" xr:uid="{00000000-0005-0000-0000-00000DC00000}"/>
    <cellStyle name="SAPBEXHLevel2X 3 5 2 2" xfId="49890" xr:uid="{00000000-0005-0000-0000-00000EC00000}"/>
    <cellStyle name="SAPBEXHLevel2X 3 5 2 2 2" xfId="50127" xr:uid="{00000000-0005-0000-0000-00000FC00000}"/>
    <cellStyle name="SAPBEXHLevel2X 3 5 2 2 3" xfId="50976" xr:uid="{00000000-0005-0000-0000-000010C00000}"/>
    <cellStyle name="SAPBEXHLevel2X 3 5 2 3" xfId="50485" xr:uid="{00000000-0005-0000-0000-000011C00000}"/>
    <cellStyle name="SAPBEXHLevel2X 3 5 2 4" xfId="51249" xr:uid="{00000000-0005-0000-0000-000012C00000}"/>
    <cellStyle name="SAPBEXHLevel2X 3 5 3" xfId="49408" xr:uid="{00000000-0005-0000-0000-000013C00000}"/>
    <cellStyle name="SAPBEXHLevel2X 3 5 3 2" xfId="49736" xr:uid="{00000000-0005-0000-0000-000014C00000}"/>
    <cellStyle name="SAPBEXHLevel2X 3 5 3 2 2" xfId="50269" xr:uid="{00000000-0005-0000-0000-000015C00000}"/>
    <cellStyle name="SAPBEXHLevel2X 3 5 3 2 3" xfId="51547" xr:uid="{00000000-0005-0000-0000-000016C00000}"/>
    <cellStyle name="SAPBEXHLevel2X 3 5 3 3" xfId="50638" xr:uid="{00000000-0005-0000-0000-000017C00000}"/>
    <cellStyle name="SAPBEXHLevel2X 3 5 3 4" xfId="51479" xr:uid="{00000000-0005-0000-0000-000018C00000}"/>
    <cellStyle name="SAPBEXHLevel2X 3 5 4" xfId="49701" xr:uid="{00000000-0005-0000-0000-000019C00000}"/>
    <cellStyle name="SAPBEXHLevel2X 3 5 4 2" xfId="50314" xr:uid="{00000000-0005-0000-0000-00001AC00000}"/>
    <cellStyle name="SAPBEXHLevel2X 3 5 4 3" xfId="50869" xr:uid="{00000000-0005-0000-0000-00001BC00000}"/>
    <cellStyle name="SAPBEXHLevel2X 3 5 5" xfId="49961" xr:uid="{00000000-0005-0000-0000-00001CC00000}"/>
    <cellStyle name="SAPBEXHLevel2X 3 5 5 2" xfId="51006" xr:uid="{00000000-0005-0000-0000-00001DC00000}"/>
    <cellStyle name="SAPBEXHLevel2X 3 5 5 3" xfId="51410" xr:uid="{00000000-0005-0000-0000-00001EC00000}"/>
    <cellStyle name="SAPBEXHLevel2X 3 5 6" xfId="50695" xr:uid="{00000000-0005-0000-0000-00001FC00000}"/>
    <cellStyle name="SAPBEXHLevel2X 3 5 7" xfId="50803" xr:uid="{00000000-0005-0000-0000-000020C00000}"/>
    <cellStyle name="SAPBEXHLevel2X 3 6" xfId="49319" xr:uid="{00000000-0005-0000-0000-000021C00000}"/>
    <cellStyle name="SAPBEXHLevel2X 3 6 2" xfId="49563" xr:uid="{00000000-0005-0000-0000-000022C00000}"/>
    <cellStyle name="SAPBEXHLevel2X 3 6 2 2" xfId="49891" xr:uid="{00000000-0005-0000-0000-000023C00000}"/>
    <cellStyle name="SAPBEXHLevel2X 3 6 2 2 2" xfId="50126" xr:uid="{00000000-0005-0000-0000-000024C00000}"/>
    <cellStyle name="SAPBEXHLevel2X 3 6 2 2 3" xfId="51287" xr:uid="{00000000-0005-0000-0000-000025C00000}"/>
    <cellStyle name="SAPBEXHLevel2X 3 6 2 3" xfId="50484" xr:uid="{00000000-0005-0000-0000-000026C00000}"/>
    <cellStyle name="SAPBEXHLevel2X 3 6 2 4" xfId="51506" xr:uid="{00000000-0005-0000-0000-000027C00000}"/>
    <cellStyle name="SAPBEXHLevel2X 3 6 3" xfId="49407" xr:uid="{00000000-0005-0000-0000-000028C00000}"/>
    <cellStyle name="SAPBEXHLevel2X 3 6 3 2" xfId="49735" xr:uid="{00000000-0005-0000-0000-000029C00000}"/>
    <cellStyle name="SAPBEXHLevel2X 3 6 3 2 2" xfId="50270" xr:uid="{00000000-0005-0000-0000-00002AC00000}"/>
    <cellStyle name="SAPBEXHLevel2X 3 6 3 2 3" xfId="51289" xr:uid="{00000000-0005-0000-0000-00002BC00000}"/>
    <cellStyle name="SAPBEXHLevel2X 3 6 3 3" xfId="50639" xr:uid="{00000000-0005-0000-0000-00002CC00000}"/>
    <cellStyle name="SAPBEXHLevel2X 3 6 3 4" xfId="51223" xr:uid="{00000000-0005-0000-0000-00002DC00000}"/>
    <cellStyle name="SAPBEXHLevel2X 3 6 4" xfId="49702" xr:uid="{00000000-0005-0000-0000-00002EC00000}"/>
    <cellStyle name="SAPBEXHLevel2X 3 6 4 2" xfId="50313" xr:uid="{00000000-0005-0000-0000-00002FC00000}"/>
    <cellStyle name="SAPBEXHLevel2X 3 6 4 3" xfId="51435" xr:uid="{00000000-0005-0000-0000-000030C00000}"/>
    <cellStyle name="SAPBEXHLevel2X 3 6 5" xfId="49989" xr:uid="{00000000-0005-0000-0000-000031C00000}"/>
    <cellStyle name="SAPBEXHLevel2X 3 6 5 2" xfId="51034" xr:uid="{00000000-0005-0000-0000-000032C00000}"/>
    <cellStyle name="SAPBEXHLevel2X 3 6 5 3" xfId="51610" xr:uid="{00000000-0005-0000-0000-000033C00000}"/>
    <cellStyle name="SAPBEXHLevel2X 3 6 6" xfId="50694" xr:uid="{00000000-0005-0000-0000-000034C00000}"/>
    <cellStyle name="SAPBEXHLevel2X 3 6 7" xfId="50847" xr:uid="{00000000-0005-0000-0000-000035C00000}"/>
    <cellStyle name="SAPBEXHLevel2X 3 7" xfId="49320" xr:uid="{00000000-0005-0000-0000-000036C00000}"/>
    <cellStyle name="SAPBEXHLevel2X 3 7 2" xfId="49564" xr:uid="{00000000-0005-0000-0000-000037C00000}"/>
    <cellStyle name="SAPBEXHLevel2X 3 7 2 2" xfId="49892" xr:uid="{00000000-0005-0000-0000-000038C00000}"/>
    <cellStyle name="SAPBEXHLevel2X 3 7 2 2 2" xfId="50125" xr:uid="{00000000-0005-0000-0000-000039C00000}"/>
    <cellStyle name="SAPBEXHLevel2X 3 7 2 2 3" xfId="51545" xr:uid="{00000000-0005-0000-0000-00003AC00000}"/>
    <cellStyle name="SAPBEXHLevel2X 3 7 2 3" xfId="50483" xr:uid="{00000000-0005-0000-0000-00003BC00000}"/>
    <cellStyle name="SAPBEXHLevel2X 3 7 2 4" xfId="51189" xr:uid="{00000000-0005-0000-0000-00003CC00000}"/>
    <cellStyle name="SAPBEXHLevel2X 3 7 3" xfId="49593" xr:uid="{00000000-0005-0000-0000-00003DC00000}"/>
    <cellStyle name="SAPBEXHLevel2X 3 7 3 2" xfId="49921" xr:uid="{00000000-0005-0000-0000-00003EC00000}"/>
    <cellStyle name="SAPBEXHLevel2X 3 7 3 2 2" xfId="50096" xr:uid="{00000000-0005-0000-0000-00003FC00000}"/>
    <cellStyle name="SAPBEXHLevel2X 3 7 3 2 3" xfId="51109" xr:uid="{00000000-0005-0000-0000-000040C00000}"/>
    <cellStyle name="SAPBEXHLevel2X 3 7 3 3" xfId="50454" xr:uid="{00000000-0005-0000-0000-000041C00000}"/>
    <cellStyle name="SAPBEXHLevel2X 3 7 3 4" xfId="51443" xr:uid="{00000000-0005-0000-0000-000042C00000}"/>
    <cellStyle name="SAPBEXHLevel2X 3 7 4" xfId="49703" xr:uid="{00000000-0005-0000-0000-000043C00000}"/>
    <cellStyle name="SAPBEXHLevel2X 3 7 4 2" xfId="50286" xr:uid="{00000000-0005-0000-0000-000044C00000}"/>
    <cellStyle name="SAPBEXHLevel2X 3 7 4 3" xfId="51382" xr:uid="{00000000-0005-0000-0000-000045C00000}"/>
    <cellStyle name="SAPBEXHLevel2X 3 7 5" xfId="49988" xr:uid="{00000000-0005-0000-0000-000046C00000}"/>
    <cellStyle name="SAPBEXHLevel2X 3 7 5 2" xfId="51033" xr:uid="{00000000-0005-0000-0000-000047C00000}"/>
    <cellStyle name="SAPBEXHLevel2X 3 7 5 3" xfId="51413" xr:uid="{00000000-0005-0000-0000-000048C00000}"/>
    <cellStyle name="SAPBEXHLevel2X 3 7 6" xfId="50693" xr:uid="{00000000-0005-0000-0000-000049C00000}"/>
    <cellStyle name="SAPBEXHLevel2X 3 7 7" xfId="50804" xr:uid="{00000000-0005-0000-0000-00004AC00000}"/>
    <cellStyle name="SAPBEXHLevel2X 3 8" xfId="49321" xr:uid="{00000000-0005-0000-0000-00004BC00000}"/>
    <cellStyle name="SAPBEXHLevel2X 3 8 2" xfId="49565" xr:uid="{00000000-0005-0000-0000-00004CC00000}"/>
    <cellStyle name="SAPBEXHLevel2X 3 8 2 2" xfId="49893" xr:uid="{00000000-0005-0000-0000-00004DC00000}"/>
    <cellStyle name="SAPBEXHLevel2X 3 8 2 2 2" xfId="50124" xr:uid="{00000000-0005-0000-0000-00004EC00000}"/>
    <cellStyle name="SAPBEXHLevel2X 3 8 2 2 3" xfId="51319" xr:uid="{00000000-0005-0000-0000-00004FC00000}"/>
    <cellStyle name="SAPBEXHLevel2X 3 8 2 3" xfId="50482" xr:uid="{00000000-0005-0000-0000-000050C00000}"/>
    <cellStyle name="SAPBEXHLevel2X 3 8 2 4" xfId="51447" xr:uid="{00000000-0005-0000-0000-000051C00000}"/>
    <cellStyle name="SAPBEXHLevel2X 3 8 3" xfId="49406" xr:uid="{00000000-0005-0000-0000-000052C00000}"/>
    <cellStyle name="SAPBEXHLevel2X 3 8 3 2" xfId="49734" xr:uid="{00000000-0005-0000-0000-000053C00000}"/>
    <cellStyle name="SAPBEXHLevel2X 3 8 3 2 2" xfId="50271" xr:uid="{00000000-0005-0000-0000-000054C00000}"/>
    <cellStyle name="SAPBEXHLevel2X 3 8 3 2 3" xfId="51433" xr:uid="{00000000-0005-0000-0000-000055C00000}"/>
    <cellStyle name="SAPBEXHLevel2X 3 8 3 3" xfId="50640" xr:uid="{00000000-0005-0000-0000-000056C00000}"/>
    <cellStyle name="SAPBEXHLevel2X 3 8 3 4" xfId="51468" xr:uid="{00000000-0005-0000-0000-000057C00000}"/>
    <cellStyle name="SAPBEXHLevel2X 3 8 4" xfId="49704" xr:uid="{00000000-0005-0000-0000-000058C00000}"/>
    <cellStyle name="SAPBEXHLevel2X 3 8 4 2" xfId="50285" xr:uid="{00000000-0005-0000-0000-000059C00000}"/>
    <cellStyle name="SAPBEXHLevel2X 3 8 4 3" xfId="51602" xr:uid="{00000000-0005-0000-0000-00005AC00000}"/>
    <cellStyle name="SAPBEXHLevel2X 3 8 5" xfId="50056" xr:uid="{00000000-0005-0000-0000-00005BC00000}"/>
    <cellStyle name="SAPBEXHLevel2X 3 8 5 2" xfId="51100" xr:uid="{00000000-0005-0000-0000-00005CC00000}"/>
    <cellStyle name="SAPBEXHLevel2X 3 8 5 3" xfId="51302" xr:uid="{00000000-0005-0000-0000-00005DC00000}"/>
    <cellStyle name="SAPBEXHLevel2X 3 8 6" xfId="50692" xr:uid="{00000000-0005-0000-0000-00005EC00000}"/>
    <cellStyle name="SAPBEXHLevel2X 3 8 7" xfId="50848" xr:uid="{00000000-0005-0000-0000-00005FC00000}"/>
    <cellStyle name="SAPBEXHLevel2X 3 9" xfId="49558" xr:uid="{00000000-0005-0000-0000-000060C00000}"/>
    <cellStyle name="SAPBEXHLevel2X 3 9 2" xfId="49886" xr:uid="{00000000-0005-0000-0000-000061C00000}"/>
    <cellStyle name="SAPBEXHLevel2X 3 9 2 2" xfId="50131" xr:uid="{00000000-0005-0000-0000-000062C00000}"/>
    <cellStyle name="SAPBEXHLevel2X 3 9 2 3" xfId="51318" xr:uid="{00000000-0005-0000-0000-000063C00000}"/>
    <cellStyle name="SAPBEXHLevel2X 3 9 3" xfId="50489" xr:uid="{00000000-0005-0000-0000-000064C00000}"/>
    <cellStyle name="SAPBEXHLevel2X 3 9 4" xfId="51448"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2" xr:uid="{00000000-0005-0000-0000-00006AC00000}"/>
    <cellStyle name="SAPBEXHLevel2X 4" xfId="46455" xr:uid="{00000000-0005-0000-0000-00006BC00000}"/>
    <cellStyle name="SAPBEXHLevel2X 4 2" xfId="46456" xr:uid="{00000000-0005-0000-0000-00006CC00000}"/>
    <cellStyle name="SAPBEXHLevel2X 4 2 2" xfId="50133" xr:uid="{00000000-0005-0000-0000-00006DC00000}"/>
    <cellStyle name="SAPBEXHLevel2X 4 2 3" xfId="51286" xr:uid="{00000000-0005-0000-0000-00006EC00000}"/>
    <cellStyle name="SAPBEXHLevel2X 4 2 4" xfId="49884" xr:uid="{00000000-0005-0000-0000-00006FC00000}"/>
    <cellStyle name="SAPBEXHLevel2X 4 3" xfId="50491" xr:uid="{00000000-0005-0000-0000-000070C00000}"/>
    <cellStyle name="SAPBEXHLevel2X 4 4" xfId="51505" xr:uid="{00000000-0005-0000-0000-000071C00000}"/>
    <cellStyle name="SAPBEXHLevel2X 4 5" xfId="49556" xr:uid="{00000000-0005-0000-0000-000072C00000}"/>
    <cellStyle name="SAPBEXHLevel2X 5" xfId="46457" xr:uid="{00000000-0005-0000-0000-000073C00000}"/>
    <cellStyle name="SAPBEXHLevel2X 5 2" xfId="46458" xr:uid="{00000000-0005-0000-0000-000074C00000}"/>
    <cellStyle name="SAPBEXHLevel2X 5 2 2" xfId="50263" xr:uid="{00000000-0005-0000-0000-000075C00000}"/>
    <cellStyle name="SAPBEXHLevel2X 5 2 3" xfId="51526" xr:uid="{00000000-0005-0000-0000-000076C00000}"/>
    <cellStyle name="SAPBEXHLevel2X 5 2 4" xfId="49742" xr:uid="{00000000-0005-0000-0000-000077C00000}"/>
    <cellStyle name="SAPBEXHLevel2X 5 3" xfId="50632" xr:uid="{00000000-0005-0000-0000-000078C00000}"/>
    <cellStyle name="SAPBEXHLevel2X 5 4" xfId="51209" xr:uid="{00000000-0005-0000-0000-000079C00000}"/>
    <cellStyle name="SAPBEXHLevel2X 5 5" xfId="49414" xr:uid="{00000000-0005-0000-0000-00007AC00000}"/>
    <cellStyle name="SAPBEXHLevel2X 6" xfId="46459" xr:uid="{00000000-0005-0000-0000-00007BC00000}"/>
    <cellStyle name="SAPBEXHLevel2X 6 2" xfId="46460" xr:uid="{00000000-0005-0000-0000-00007CC00000}"/>
    <cellStyle name="SAPBEXHLevel2X 6 2 2" xfId="50320" xr:uid="{00000000-0005-0000-0000-00007DC00000}"/>
    <cellStyle name="SAPBEXHLevel2X 6 3" xfId="51628" xr:uid="{00000000-0005-0000-0000-00007EC00000}"/>
    <cellStyle name="SAPBEXHLevel2X 6 4" xfId="49695" xr:uid="{00000000-0005-0000-0000-00007FC00000}"/>
    <cellStyle name="SAPBEXHLevel2X 7" xfId="46461" xr:uid="{00000000-0005-0000-0000-000080C00000}"/>
    <cellStyle name="SAPBEXHLevel2X 7 2" xfId="46462" xr:uid="{00000000-0005-0000-0000-000081C00000}"/>
    <cellStyle name="SAPBEXHLevel2X 7 2 2" xfId="51038" xr:uid="{00000000-0005-0000-0000-000082C00000}"/>
    <cellStyle name="SAPBEXHLevel2X 7 3" xfId="51327" xr:uid="{00000000-0005-0000-0000-000083C00000}"/>
    <cellStyle name="SAPBEXHLevel2X 7 4" xfId="49993" xr:uid="{00000000-0005-0000-0000-000084C00000}"/>
    <cellStyle name="SAPBEXHLevel2X 8" xfId="46463" xr:uid="{00000000-0005-0000-0000-000085C00000}"/>
    <cellStyle name="SAPBEXHLevel2X 8 2" xfId="46464" xr:uid="{00000000-0005-0000-0000-000086C00000}"/>
    <cellStyle name="SAPBEXHLevel2X 8 3" xfId="50701" xr:uid="{00000000-0005-0000-0000-000087C00000}"/>
    <cellStyle name="SAPBEXHLevel2X 9" xfId="46465" xr:uid="{00000000-0005-0000-0000-000088C00000}"/>
    <cellStyle name="SAPBEXHLevel2X 9 2" xfId="46466" xr:uid="{00000000-0005-0000-0000-000089C00000}"/>
    <cellStyle name="SAPBEXHLevel2X 9 3" xfId="50801"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1"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2" xr:uid="{00000000-0005-0000-0000-0000A5C00000}"/>
    <cellStyle name="SAPBEXHLevel3 2 2 2 3" xfId="51406" xr:uid="{00000000-0005-0000-0000-0000A6C00000}"/>
    <cellStyle name="SAPBEXHLevel3 2 2 2 4" xfId="49895" xr:uid="{00000000-0005-0000-0000-0000A7C00000}"/>
    <cellStyle name="SAPBEXHLevel3 2 2 3" xfId="46491" xr:uid="{00000000-0005-0000-0000-0000A8C00000}"/>
    <cellStyle name="SAPBEXHLevel3 2 2 3 2" xfId="50480" xr:uid="{00000000-0005-0000-0000-0000A9C00000}"/>
    <cellStyle name="SAPBEXHLevel3 2 2 4" xfId="51639" xr:uid="{00000000-0005-0000-0000-0000AAC00000}"/>
    <cellStyle name="SAPBEXHLevel3 2 2 5" xfId="49567"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7" xr:uid="{00000000-0005-0000-0000-0000B8C00000}"/>
    <cellStyle name="SAPBEXHLevel3 2 3 2 3" xfId="51155" xr:uid="{00000000-0005-0000-0000-0000B9C00000}"/>
    <cellStyle name="SAPBEXHLevel3 2 3 2 4" xfId="49920" xr:uid="{00000000-0005-0000-0000-0000BAC00000}"/>
    <cellStyle name="SAPBEXHLevel3 2 3 3" xfId="50455" xr:uid="{00000000-0005-0000-0000-0000BBC00000}"/>
    <cellStyle name="SAPBEXHLevel3 2 3 4" xfId="51185" xr:uid="{00000000-0005-0000-0000-0000BCC00000}"/>
    <cellStyle name="SAPBEXHLevel3 2 3 5" xfId="49592"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3" xr:uid="{00000000-0005-0000-0000-0000C1C00000}"/>
    <cellStyle name="SAPBEXHLevel3 2 4" xfId="46507" xr:uid="{00000000-0005-0000-0000-0000C2C00000}"/>
    <cellStyle name="SAPBEXHLevel3 2 4 2" xfId="46508" xr:uid="{00000000-0005-0000-0000-0000C3C00000}"/>
    <cellStyle name="SAPBEXHLevel3 2 4 2 2" xfId="50283" xr:uid="{00000000-0005-0000-0000-0000C4C00000}"/>
    <cellStyle name="SAPBEXHLevel3 2 4 3" xfId="50939" xr:uid="{00000000-0005-0000-0000-0000C5C00000}"/>
    <cellStyle name="SAPBEXHLevel3 2 4 4" xfId="49706" xr:uid="{00000000-0005-0000-0000-0000C6C00000}"/>
    <cellStyle name="SAPBEXHLevel3 2 5" xfId="46509" xr:uid="{00000000-0005-0000-0000-0000C7C00000}"/>
    <cellStyle name="SAPBEXHLevel3 2 5 2" xfId="46510" xr:uid="{00000000-0005-0000-0000-0000C8C00000}"/>
    <cellStyle name="SAPBEXHLevel3 2 5 2 2" xfId="51099" xr:uid="{00000000-0005-0000-0000-0000C9C00000}"/>
    <cellStyle name="SAPBEXHLevel3 2 5 3" xfId="51135" xr:uid="{00000000-0005-0000-0000-0000CAC00000}"/>
    <cellStyle name="SAPBEXHLevel3 2 5 4" xfId="50055" xr:uid="{00000000-0005-0000-0000-0000CBC00000}"/>
    <cellStyle name="SAPBEXHLevel3 2 6" xfId="46511" xr:uid="{00000000-0005-0000-0000-0000CCC00000}"/>
    <cellStyle name="SAPBEXHLevel3 2 6 2" xfId="46512" xr:uid="{00000000-0005-0000-0000-0000CDC00000}"/>
    <cellStyle name="SAPBEXHLevel3 2 6 3" xfId="50690" xr:uid="{00000000-0005-0000-0000-0000CEC00000}"/>
    <cellStyle name="SAPBEXHLevel3 2 7" xfId="46513" xr:uid="{00000000-0005-0000-0000-0000CFC00000}"/>
    <cellStyle name="SAPBEXHLevel3 2 7 2" xfId="46514" xr:uid="{00000000-0005-0000-0000-0000D0C00000}"/>
    <cellStyle name="SAPBEXHLevel3 2 7 3" xfId="50843"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3" xr:uid="{00000000-0005-0000-0000-0000E1C00000}"/>
    <cellStyle name="SAPBEXHLevel3 3 2 3" xfId="51576" xr:uid="{00000000-0005-0000-0000-0000E2C00000}"/>
    <cellStyle name="SAPBEXHLevel3 3 2 4" xfId="49894" xr:uid="{00000000-0005-0000-0000-0000E3C00000}"/>
    <cellStyle name="SAPBEXHLevel3 3 3" xfId="46530" xr:uid="{00000000-0005-0000-0000-0000E4C00000}"/>
    <cellStyle name="SAPBEXHLevel3 3 3 2" xfId="50481" xr:uid="{00000000-0005-0000-0000-0000E5C00000}"/>
    <cellStyle name="SAPBEXHLevel3 3 4" xfId="51367" xr:uid="{00000000-0005-0000-0000-0000E6C00000}"/>
    <cellStyle name="SAPBEXHLevel3 3 5" xfId="49566"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2" xr:uid="{00000000-0005-0000-0000-0000ECC00000}"/>
    <cellStyle name="SAPBEXHLevel3 4" xfId="46535" xr:uid="{00000000-0005-0000-0000-0000EDC00000}"/>
    <cellStyle name="SAPBEXHLevel3 4 2" xfId="46536" xr:uid="{00000000-0005-0000-0000-0000EEC00000}"/>
    <cellStyle name="SAPBEXHLevel3 4 2 2" xfId="50272" xr:uid="{00000000-0005-0000-0000-0000EFC00000}"/>
    <cellStyle name="SAPBEXHLevel3 4 2 3" xfId="51174" xr:uid="{00000000-0005-0000-0000-0000F0C00000}"/>
    <cellStyle name="SAPBEXHLevel3 4 2 4" xfId="49733" xr:uid="{00000000-0005-0000-0000-0000F1C00000}"/>
    <cellStyle name="SAPBEXHLevel3 4 3" xfId="50641" xr:uid="{00000000-0005-0000-0000-0000F2C00000}"/>
    <cellStyle name="SAPBEXHLevel3 4 4" xfId="51210" xr:uid="{00000000-0005-0000-0000-0000F3C00000}"/>
    <cellStyle name="SAPBEXHLevel3 4 5" xfId="49405" xr:uid="{00000000-0005-0000-0000-0000F4C00000}"/>
    <cellStyle name="SAPBEXHLevel3 5" xfId="46537" xr:uid="{00000000-0005-0000-0000-0000F5C00000}"/>
    <cellStyle name="SAPBEXHLevel3 5 2" xfId="46538" xr:uid="{00000000-0005-0000-0000-0000F6C00000}"/>
    <cellStyle name="SAPBEXHLevel3 5 2 2" xfId="50998" xr:uid="{00000000-0005-0000-0000-0000F7C00000}"/>
    <cellStyle name="SAPBEXHLevel3 5 2 3" xfId="51116" xr:uid="{00000000-0005-0000-0000-0000F8C00000}"/>
    <cellStyle name="SAPBEXHLevel3 5 2 4" xfId="49953" xr:uid="{00000000-0005-0000-0000-0000F9C00000}"/>
    <cellStyle name="SAPBEXHLevel3 5 3" xfId="50059" xr:uid="{00000000-0005-0000-0000-0000FAC00000}"/>
    <cellStyle name="SAPBEXHLevel3 5 4" xfId="51137" xr:uid="{00000000-0005-0000-0000-0000FBC00000}"/>
    <cellStyle name="SAPBEXHLevel3 5 5" xfId="49625" xr:uid="{00000000-0005-0000-0000-0000FCC00000}"/>
    <cellStyle name="SAPBEXHLevel3 6" xfId="46539" xr:uid="{00000000-0005-0000-0000-0000FDC00000}"/>
    <cellStyle name="SAPBEXHLevel3 6 2" xfId="46540" xr:uid="{00000000-0005-0000-0000-0000FEC00000}"/>
    <cellStyle name="SAPBEXHLevel3 6 2 2" xfId="50284" xr:uid="{00000000-0005-0000-0000-0000FFC00000}"/>
    <cellStyle name="SAPBEXHLevel3 6 3" xfId="50879" xr:uid="{00000000-0005-0000-0000-000000C10000}"/>
    <cellStyle name="SAPBEXHLevel3 6 4" xfId="49705" xr:uid="{00000000-0005-0000-0000-000001C10000}"/>
    <cellStyle name="SAPBEXHLevel3 7" xfId="46541" xr:uid="{00000000-0005-0000-0000-000002C10000}"/>
    <cellStyle name="SAPBEXHLevel3 7 2" xfId="46542" xr:uid="{00000000-0005-0000-0000-000003C10000}"/>
    <cellStyle name="SAPBEXHLevel3 7 2 2" xfId="51101" xr:uid="{00000000-0005-0000-0000-000004C10000}"/>
    <cellStyle name="SAPBEXHLevel3 7 3" xfId="51674" xr:uid="{00000000-0005-0000-0000-000005C10000}"/>
    <cellStyle name="SAPBEXHLevel3 7 4" xfId="50057" xr:uid="{00000000-0005-0000-0000-000006C10000}"/>
    <cellStyle name="SAPBEXHLevel3 8" xfId="46543" xr:uid="{00000000-0005-0000-0000-000007C10000}"/>
    <cellStyle name="SAPBEXHLevel3 8 2" xfId="46544" xr:uid="{00000000-0005-0000-0000-000008C10000}"/>
    <cellStyle name="SAPBEXHLevel3 8 3" xfId="50691" xr:uid="{00000000-0005-0000-0000-000009C10000}"/>
    <cellStyle name="SAPBEXHLevel3 9" xfId="46545" xr:uid="{00000000-0005-0000-0000-00000AC10000}"/>
    <cellStyle name="SAPBEXHLevel3 9 2" xfId="46546" xr:uid="{00000000-0005-0000-0000-00000BC10000}"/>
    <cellStyle name="SAPBEXHLevel3 9 3" xfId="50849"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20" xr:uid="{00000000-0005-0000-0000-000026C10000}"/>
    <cellStyle name="SAPBEXHLevel3X 2 2 2 3" xfId="51102" xr:uid="{00000000-0005-0000-0000-000027C10000}"/>
    <cellStyle name="SAPBEXHLevel3X 2 2 2 4" xfId="49897" xr:uid="{00000000-0005-0000-0000-000028C10000}"/>
    <cellStyle name="SAPBEXHLevel3X 2 2 3" xfId="46571" xr:uid="{00000000-0005-0000-0000-000029C10000}"/>
    <cellStyle name="SAPBEXHLevel3X 2 2 3 2" xfId="50478" xr:uid="{00000000-0005-0000-0000-00002AC10000}"/>
    <cellStyle name="SAPBEXHLevel3X 2 2 4" xfId="51250" xr:uid="{00000000-0005-0000-0000-00002BC10000}"/>
    <cellStyle name="SAPBEXHLevel3X 2 2 5" xfId="49569"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9" xr:uid="{00000000-0005-0000-0000-000039C10000}"/>
    <cellStyle name="SAPBEXHLevel3X 2 3 2 3" xfId="51151" xr:uid="{00000000-0005-0000-0000-00003AC10000}"/>
    <cellStyle name="SAPBEXHLevel3X 2 3 2 4" xfId="49931" xr:uid="{00000000-0005-0000-0000-00003BC10000}"/>
    <cellStyle name="SAPBEXHLevel3X 2 3 3" xfId="50444" xr:uid="{00000000-0005-0000-0000-00003CC10000}"/>
    <cellStyle name="SAPBEXHLevel3X 2 3 4" xfId="51644" xr:uid="{00000000-0005-0000-0000-00003DC10000}"/>
    <cellStyle name="SAPBEXHLevel3X 2 3 5" xfId="49603"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5" xr:uid="{00000000-0005-0000-0000-000042C10000}"/>
    <cellStyle name="SAPBEXHLevel3X 2 4" xfId="46587" xr:uid="{00000000-0005-0000-0000-000043C10000}"/>
    <cellStyle name="SAPBEXHLevel3X 2 4 2" xfId="46588" xr:uid="{00000000-0005-0000-0000-000044C10000}"/>
    <cellStyle name="SAPBEXHLevel3X 2 4 2 2" xfId="50281" xr:uid="{00000000-0005-0000-0000-000045C10000}"/>
    <cellStyle name="SAPBEXHLevel3X 2 4 3" xfId="50857" xr:uid="{00000000-0005-0000-0000-000046C10000}"/>
    <cellStyle name="SAPBEXHLevel3X 2 4 4" xfId="49708" xr:uid="{00000000-0005-0000-0000-000047C10000}"/>
    <cellStyle name="SAPBEXHLevel3X 2 5" xfId="46589" xr:uid="{00000000-0005-0000-0000-000048C10000}"/>
    <cellStyle name="SAPBEXHLevel3X 2 5 2" xfId="46590" xr:uid="{00000000-0005-0000-0000-000049C10000}"/>
    <cellStyle name="SAPBEXHLevel3X 2 5 2 2" xfId="51032" xr:uid="{00000000-0005-0000-0000-00004AC10000}"/>
    <cellStyle name="SAPBEXHLevel3X 2 5 3" xfId="51592" xr:uid="{00000000-0005-0000-0000-00004BC10000}"/>
    <cellStyle name="SAPBEXHLevel3X 2 5 4" xfId="49987" xr:uid="{00000000-0005-0000-0000-00004CC10000}"/>
    <cellStyle name="SAPBEXHLevel3X 2 6" xfId="46591" xr:uid="{00000000-0005-0000-0000-00004DC10000}"/>
    <cellStyle name="SAPBEXHLevel3X 2 6 2" xfId="46592" xr:uid="{00000000-0005-0000-0000-00004EC10000}"/>
    <cellStyle name="SAPBEXHLevel3X 2 6 3" xfId="50688" xr:uid="{00000000-0005-0000-0000-00004FC10000}"/>
    <cellStyle name="SAPBEXHLevel3X 2 7" xfId="46593" xr:uid="{00000000-0005-0000-0000-000050C10000}"/>
    <cellStyle name="SAPBEXHLevel3X 2 7 2" xfId="46594" xr:uid="{00000000-0005-0000-0000-000051C10000}"/>
    <cellStyle name="SAPBEXHLevel3X 2 7 3" xfId="51146"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4" xr:uid="{00000000-0005-0000-0000-000061C10000}"/>
    <cellStyle name="SAPBEXHLevel3X 3 10 2" xfId="49932" xr:uid="{00000000-0005-0000-0000-000062C10000}"/>
    <cellStyle name="SAPBEXHLevel3X 3 10 2 2" xfId="50088" xr:uid="{00000000-0005-0000-0000-000063C10000}"/>
    <cellStyle name="SAPBEXHLevel3X 3 10 2 3" xfId="51113" xr:uid="{00000000-0005-0000-0000-000064C10000}"/>
    <cellStyle name="SAPBEXHLevel3X 3 10 3" xfId="50443" xr:uid="{00000000-0005-0000-0000-000065C10000}"/>
    <cellStyle name="SAPBEXHLevel3X 3 10 4" xfId="50878" xr:uid="{00000000-0005-0000-0000-000066C10000}"/>
    <cellStyle name="SAPBEXHLevel3X 3 11" xfId="49709" xr:uid="{00000000-0005-0000-0000-000067C10000}"/>
    <cellStyle name="SAPBEXHLevel3X 3 11 2" xfId="50280" xr:uid="{00000000-0005-0000-0000-000068C10000}"/>
    <cellStyle name="SAPBEXHLevel3X 3 11 3" xfId="51522" xr:uid="{00000000-0005-0000-0000-000069C10000}"/>
    <cellStyle name="SAPBEXHLevel3X 3 12" xfId="49986" xr:uid="{00000000-0005-0000-0000-00006AC10000}"/>
    <cellStyle name="SAPBEXHLevel3X 3 12 2" xfId="51031" xr:uid="{00000000-0005-0000-0000-00006BC10000}"/>
    <cellStyle name="SAPBEXHLevel3X 3 12 3" xfId="51337" xr:uid="{00000000-0005-0000-0000-00006CC10000}"/>
    <cellStyle name="SAPBEXHLevel3X 3 13" xfId="50687" xr:uid="{00000000-0005-0000-0000-00006DC10000}"/>
    <cellStyle name="SAPBEXHLevel3X 3 14" xfId="50842" xr:uid="{00000000-0005-0000-0000-00006EC10000}"/>
    <cellStyle name="SAPBEXHLevel3X 3 15" xfId="49326" xr:uid="{00000000-0005-0000-0000-00006FC10000}"/>
    <cellStyle name="SAPBEXHLevel3X 3 2" xfId="46609" xr:uid="{00000000-0005-0000-0000-000070C10000}"/>
    <cellStyle name="SAPBEXHLevel3X 3 2 2" xfId="49571" xr:uid="{00000000-0005-0000-0000-000071C10000}"/>
    <cellStyle name="SAPBEXHLevel3X 3 2 2 2" xfId="49899" xr:uid="{00000000-0005-0000-0000-000072C10000}"/>
    <cellStyle name="SAPBEXHLevel3X 3 2 2 2 2" xfId="50118" xr:uid="{00000000-0005-0000-0000-000073C10000}"/>
    <cellStyle name="SAPBEXHLevel3X 3 2 2 2 3" xfId="51546" xr:uid="{00000000-0005-0000-0000-000074C10000}"/>
    <cellStyle name="SAPBEXHLevel3X 3 2 2 3" xfId="50476" xr:uid="{00000000-0005-0000-0000-000075C10000}"/>
    <cellStyle name="SAPBEXHLevel3X 3 2 2 4" xfId="51188" xr:uid="{00000000-0005-0000-0000-000076C10000}"/>
    <cellStyle name="SAPBEXHLevel3X 3 2 3" xfId="49605" xr:uid="{00000000-0005-0000-0000-000077C10000}"/>
    <cellStyle name="SAPBEXHLevel3X 3 2 3 2" xfId="49933" xr:uid="{00000000-0005-0000-0000-000078C10000}"/>
    <cellStyle name="SAPBEXHLevel3X 3 2 3 2 2" xfId="50087" xr:uid="{00000000-0005-0000-0000-000079C10000}"/>
    <cellStyle name="SAPBEXHLevel3X 3 2 3 2 3" xfId="51114" xr:uid="{00000000-0005-0000-0000-00007AC10000}"/>
    <cellStyle name="SAPBEXHLevel3X 3 2 3 3" xfId="50442" xr:uid="{00000000-0005-0000-0000-00007BC10000}"/>
    <cellStyle name="SAPBEXHLevel3X 3 2 3 4" xfId="50952" xr:uid="{00000000-0005-0000-0000-00007CC10000}"/>
    <cellStyle name="SAPBEXHLevel3X 3 2 4" xfId="49710" xr:uid="{00000000-0005-0000-0000-00007DC10000}"/>
    <cellStyle name="SAPBEXHLevel3X 3 2 4 2" xfId="50279" xr:uid="{00000000-0005-0000-0000-00007EC10000}"/>
    <cellStyle name="SAPBEXHLevel3X 3 2 4 3" xfId="51175" xr:uid="{00000000-0005-0000-0000-00007FC10000}"/>
    <cellStyle name="SAPBEXHLevel3X 3 2 5" xfId="49985" xr:uid="{00000000-0005-0000-0000-000080C10000}"/>
    <cellStyle name="SAPBEXHLevel3X 3 2 5 2" xfId="51030" xr:uid="{00000000-0005-0000-0000-000081C10000}"/>
    <cellStyle name="SAPBEXHLevel3X 3 2 5 3" xfId="51583" xr:uid="{00000000-0005-0000-0000-000082C10000}"/>
    <cellStyle name="SAPBEXHLevel3X 3 2 6" xfId="50686" xr:uid="{00000000-0005-0000-0000-000083C10000}"/>
    <cellStyle name="SAPBEXHLevel3X 3 2 7" xfId="51147" xr:uid="{00000000-0005-0000-0000-000084C10000}"/>
    <cellStyle name="SAPBEXHLevel3X 3 2 8" xfId="49327" xr:uid="{00000000-0005-0000-0000-000085C10000}"/>
    <cellStyle name="SAPBEXHLevel3X 3 3" xfId="46610" xr:uid="{00000000-0005-0000-0000-000086C10000}"/>
    <cellStyle name="SAPBEXHLevel3X 3 3 2" xfId="49572" xr:uid="{00000000-0005-0000-0000-000087C10000}"/>
    <cellStyle name="SAPBEXHLevel3X 3 3 2 2" xfId="49900" xr:uid="{00000000-0005-0000-0000-000088C10000}"/>
    <cellStyle name="SAPBEXHLevel3X 3 3 2 2 2" xfId="50117" xr:uid="{00000000-0005-0000-0000-000089C10000}"/>
    <cellStyle name="SAPBEXHLevel3X 3 3 2 2 3" xfId="51320" xr:uid="{00000000-0005-0000-0000-00008AC10000}"/>
    <cellStyle name="SAPBEXHLevel3X 3 3 2 3" xfId="50475" xr:uid="{00000000-0005-0000-0000-00008BC10000}"/>
    <cellStyle name="SAPBEXHLevel3X 3 3 2 4" xfId="51446" xr:uid="{00000000-0005-0000-0000-00008CC10000}"/>
    <cellStyle name="SAPBEXHLevel3X 3 3 3" xfId="49606" xr:uid="{00000000-0005-0000-0000-00008DC10000}"/>
    <cellStyle name="SAPBEXHLevel3X 3 3 3 2" xfId="49934" xr:uid="{00000000-0005-0000-0000-00008EC10000}"/>
    <cellStyle name="SAPBEXHLevel3X 3 3 3 2 2" xfId="50086" xr:uid="{00000000-0005-0000-0000-00008FC10000}"/>
    <cellStyle name="SAPBEXHLevel3X 3 3 3 2 3" xfId="51290" xr:uid="{00000000-0005-0000-0000-000090C10000}"/>
    <cellStyle name="SAPBEXHLevel3X 3 3 3 3" xfId="50441" xr:uid="{00000000-0005-0000-0000-000091C10000}"/>
    <cellStyle name="SAPBEXHLevel3X 3 3 3 4" xfId="51255" xr:uid="{00000000-0005-0000-0000-000092C10000}"/>
    <cellStyle name="SAPBEXHLevel3X 3 3 4" xfId="49711" xr:uid="{00000000-0005-0000-0000-000093C10000}"/>
    <cellStyle name="SAPBEXHLevel3X 3 3 4 2" xfId="50278" xr:uid="{00000000-0005-0000-0000-000094C10000}"/>
    <cellStyle name="SAPBEXHLevel3X 3 3 4 3" xfId="51434" xr:uid="{00000000-0005-0000-0000-000095C10000}"/>
    <cellStyle name="SAPBEXHLevel3X 3 3 5" xfId="49984" xr:uid="{00000000-0005-0000-0000-000096C10000}"/>
    <cellStyle name="SAPBEXHLevel3X 3 3 5 2" xfId="51029" xr:uid="{00000000-0005-0000-0000-000097C10000}"/>
    <cellStyle name="SAPBEXHLevel3X 3 3 5 3" xfId="51326" xr:uid="{00000000-0005-0000-0000-000098C10000}"/>
    <cellStyle name="SAPBEXHLevel3X 3 3 6" xfId="50685" xr:uid="{00000000-0005-0000-0000-000099C10000}"/>
    <cellStyle name="SAPBEXHLevel3X 3 3 7" xfId="50805" xr:uid="{00000000-0005-0000-0000-00009AC10000}"/>
    <cellStyle name="SAPBEXHLevel3X 3 3 8" xfId="49328" xr:uid="{00000000-0005-0000-0000-00009BC10000}"/>
    <cellStyle name="SAPBEXHLevel3X 3 4" xfId="49329" xr:uid="{00000000-0005-0000-0000-00009CC10000}"/>
    <cellStyle name="SAPBEXHLevel3X 3 4 2" xfId="49573" xr:uid="{00000000-0005-0000-0000-00009DC10000}"/>
    <cellStyle name="SAPBEXHLevel3X 3 4 2 2" xfId="49901" xr:uid="{00000000-0005-0000-0000-00009EC10000}"/>
    <cellStyle name="SAPBEXHLevel3X 3 4 2 2 2" xfId="50116" xr:uid="{00000000-0005-0000-0000-00009FC10000}"/>
    <cellStyle name="SAPBEXHLevel3X 3 4 2 2 3" xfId="51577" xr:uid="{00000000-0005-0000-0000-0000A0C10000}"/>
    <cellStyle name="SAPBEXHLevel3X 3 4 2 3" xfId="50474" xr:uid="{00000000-0005-0000-0000-0000A1C10000}"/>
    <cellStyle name="SAPBEXHLevel3X 3 4 2 4" xfId="51368" xr:uid="{00000000-0005-0000-0000-0000A2C10000}"/>
    <cellStyle name="SAPBEXHLevel3X 3 4 3" xfId="49607" xr:uid="{00000000-0005-0000-0000-0000A3C10000}"/>
    <cellStyle name="SAPBEXHLevel3X 3 4 3 2" xfId="49935" xr:uid="{00000000-0005-0000-0000-0000A4C10000}"/>
    <cellStyle name="SAPBEXHLevel3X 3 4 3 2 2" xfId="50085" xr:uid="{00000000-0005-0000-0000-0000A5C10000}"/>
    <cellStyle name="SAPBEXHLevel3X 3 4 3 2 3" xfId="51548" xr:uid="{00000000-0005-0000-0000-0000A6C10000}"/>
    <cellStyle name="SAPBEXHLevel3X 3 4 3 3" xfId="50064" xr:uid="{00000000-0005-0000-0000-0000A7C10000}"/>
    <cellStyle name="SAPBEXHLevel3X 3 4 3 4" xfId="51512" xr:uid="{00000000-0005-0000-0000-0000A8C10000}"/>
    <cellStyle name="SAPBEXHLevel3X 3 4 4" xfId="49712" xr:uid="{00000000-0005-0000-0000-0000A9C10000}"/>
    <cellStyle name="SAPBEXHLevel3X 3 4 4 2" xfId="50277" xr:uid="{00000000-0005-0000-0000-0000AAC10000}"/>
    <cellStyle name="SAPBEXHLevel3X 3 4 4 3" xfId="51383" xr:uid="{00000000-0005-0000-0000-0000ABC10000}"/>
    <cellStyle name="SAPBEXHLevel3X 3 4 5" xfId="49983" xr:uid="{00000000-0005-0000-0000-0000ACC10000}"/>
    <cellStyle name="SAPBEXHLevel3X 3 4 5 2" xfId="51028" xr:uid="{00000000-0005-0000-0000-0000ADC10000}"/>
    <cellStyle name="SAPBEXHLevel3X 3 4 5 3" xfId="51553" xr:uid="{00000000-0005-0000-0000-0000AEC10000}"/>
    <cellStyle name="SAPBEXHLevel3X 3 4 6" xfId="50684" xr:uid="{00000000-0005-0000-0000-0000AFC10000}"/>
    <cellStyle name="SAPBEXHLevel3X 3 4 7" xfId="50874" xr:uid="{00000000-0005-0000-0000-0000B0C10000}"/>
    <cellStyle name="SAPBEXHLevel3X 3 5" xfId="49330" xr:uid="{00000000-0005-0000-0000-0000B1C10000}"/>
    <cellStyle name="SAPBEXHLevel3X 3 5 2" xfId="49574" xr:uid="{00000000-0005-0000-0000-0000B2C10000}"/>
    <cellStyle name="SAPBEXHLevel3X 3 5 2 2" xfId="49902" xr:uid="{00000000-0005-0000-0000-0000B3C10000}"/>
    <cellStyle name="SAPBEXHLevel3X 3 5 2 2 2" xfId="50115" xr:uid="{00000000-0005-0000-0000-0000B4C10000}"/>
    <cellStyle name="SAPBEXHLevel3X 3 5 2 2 3" xfId="51407" xr:uid="{00000000-0005-0000-0000-0000B5C10000}"/>
    <cellStyle name="SAPBEXHLevel3X 3 5 2 3" xfId="50473" xr:uid="{00000000-0005-0000-0000-0000B6C10000}"/>
    <cellStyle name="SAPBEXHLevel3X 3 5 2 4" xfId="51600" xr:uid="{00000000-0005-0000-0000-0000B7C10000}"/>
    <cellStyle name="SAPBEXHLevel3X 3 5 3" xfId="49608" xr:uid="{00000000-0005-0000-0000-0000B8C10000}"/>
    <cellStyle name="SAPBEXHLevel3X 3 5 3 2" xfId="49936" xr:uid="{00000000-0005-0000-0000-0000B9C10000}"/>
    <cellStyle name="SAPBEXHLevel3X 3 5 3 2 2" xfId="50084" xr:uid="{00000000-0005-0000-0000-0000BAC10000}"/>
    <cellStyle name="SAPBEXHLevel3X 3 5 3 2 3" xfId="51321" xr:uid="{00000000-0005-0000-0000-0000BBC10000}"/>
    <cellStyle name="SAPBEXHLevel3X 3 5 3 3" xfId="50825" xr:uid="{00000000-0005-0000-0000-0000BCC10000}"/>
    <cellStyle name="SAPBEXHLevel3X 3 5 3 4" xfId="51183" xr:uid="{00000000-0005-0000-0000-0000BDC10000}"/>
    <cellStyle name="SAPBEXHLevel3X 3 5 4" xfId="49713" xr:uid="{00000000-0005-0000-0000-0000BEC10000}"/>
    <cellStyle name="SAPBEXHLevel3X 3 5 4 2" xfId="50276" xr:uid="{00000000-0005-0000-0000-0000BFC10000}"/>
    <cellStyle name="SAPBEXHLevel3X 3 5 4 3" xfId="51627" xr:uid="{00000000-0005-0000-0000-0000C0C10000}"/>
    <cellStyle name="SAPBEXHLevel3X 3 5 5" xfId="49982" xr:uid="{00000000-0005-0000-0000-0000C1C10000}"/>
    <cellStyle name="SAPBEXHLevel3X 3 5 5 2" xfId="51027" xr:uid="{00000000-0005-0000-0000-0000C2C10000}"/>
    <cellStyle name="SAPBEXHLevel3X 3 5 5 3" xfId="51295" xr:uid="{00000000-0005-0000-0000-0000C3C10000}"/>
    <cellStyle name="SAPBEXHLevel3X 3 5 6" xfId="50683" xr:uid="{00000000-0005-0000-0000-0000C4C10000}"/>
    <cellStyle name="SAPBEXHLevel3X 3 5 7" xfId="50948" xr:uid="{00000000-0005-0000-0000-0000C5C10000}"/>
    <cellStyle name="SAPBEXHLevel3X 3 6" xfId="49331" xr:uid="{00000000-0005-0000-0000-0000C6C10000}"/>
    <cellStyle name="SAPBEXHLevel3X 3 6 2" xfId="49575" xr:uid="{00000000-0005-0000-0000-0000C7C10000}"/>
    <cellStyle name="SAPBEXHLevel3X 3 6 2 2" xfId="49903" xr:uid="{00000000-0005-0000-0000-0000C8C10000}"/>
    <cellStyle name="SAPBEXHLevel3X 3 6 2 2 2" xfId="50114" xr:uid="{00000000-0005-0000-0000-0000C9C10000}"/>
    <cellStyle name="SAPBEXHLevel3X 3 6 2 2 3" xfId="51601" xr:uid="{00000000-0005-0000-0000-0000CAC10000}"/>
    <cellStyle name="SAPBEXHLevel3X 3 6 2 3" xfId="50472" xr:uid="{00000000-0005-0000-0000-0000CBC10000}"/>
    <cellStyle name="SAPBEXHLevel3X 3 6 2 4" xfId="50915" xr:uid="{00000000-0005-0000-0000-0000CCC10000}"/>
    <cellStyle name="SAPBEXHLevel3X 3 6 3" xfId="49609" xr:uid="{00000000-0005-0000-0000-0000CDC10000}"/>
    <cellStyle name="SAPBEXHLevel3X 3 6 3 2" xfId="49937" xr:uid="{00000000-0005-0000-0000-0000CEC10000}"/>
    <cellStyle name="SAPBEXHLevel3X 3 6 3 2 2" xfId="50083" xr:uid="{00000000-0005-0000-0000-0000CFC10000}"/>
    <cellStyle name="SAPBEXHLevel3X 3 6 3 2 3" xfId="51578" xr:uid="{00000000-0005-0000-0000-0000D0C10000}"/>
    <cellStyle name="SAPBEXHLevel3X 3 6 3 3" xfId="50066" xr:uid="{00000000-0005-0000-0000-0000D1C10000}"/>
    <cellStyle name="SAPBEXHLevel3X 3 6 3 4" xfId="51441" xr:uid="{00000000-0005-0000-0000-0000D2C10000}"/>
    <cellStyle name="SAPBEXHLevel3X 3 6 4" xfId="49714" xr:uid="{00000000-0005-0000-0000-0000D3C10000}"/>
    <cellStyle name="SAPBEXHLevel3X 3 6 4 2" xfId="50275" xr:uid="{00000000-0005-0000-0000-0000D4C10000}"/>
    <cellStyle name="SAPBEXHLevel3X 3 6 4 3" xfId="51258" xr:uid="{00000000-0005-0000-0000-0000D5C10000}"/>
    <cellStyle name="SAPBEXHLevel3X 3 6 5" xfId="50049" xr:uid="{00000000-0005-0000-0000-0000D6C10000}"/>
    <cellStyle name="SAPBEXHLevel3X 3 6 5 2" xfId="51093" xr:uid="{00000000-0005-0000-0000-0000D7C10000}"/>
    <cellStyle name="SAPBEXHLevel3X 3 6 5 3" xfId="51332" xr:uid="{00000000-0005-0000-0000-0000D8C10000}"/>
    <cellStyle name="SAPBEXHLevel3X 3 6 6" xfId="50682" xr:uid="{00000000-0005-0000-0000-0000D9C10000}"/>
    <cellStyle name="SAPBEXHLevel3X 3 6 7" xfId="50888" xr:uid="{00000000-0005-0000-0000-0000DAC10000}"/>
    <cellStyle name="SAPBEXHLevel3X 3 7" xfId="49332" xr:uid="{00000000-0005-0000-0000-0000DBC10000}"/>
    <cellStyle name="SAPBEXHLevel3X 3 7 2" xfId="49576" xr:uid="{00000000-0005-0000-0000-0000DCC10000}"/>
    <cellStyle name="SAPBEXHLevel3X 3 7 2 2" xfId="49904" xr:uid="{00000000-0005-0000-0000-0000DDC10000}"/>
    <cellStyle name="SAPBEXHLevel3X 3 7 2 2 2" xfId="50113" xr:uid="{00000000-0005-0000-0000-0000DEC10000}"/>
    <cellStyle name="SAPBEXHLevel3X 3 7 2 2 3" xfId="51281" xr:uid="{00000000-0005-0000-0000-0000DFC10000}"/>
    <cellStyle name="SAPBEXHLevel3X 3 7 2 3" xfId="50471" xr:uid="{00000000-0005-0000-0000-0000E0C10000}"/>
    <cellStyle name="SAPBEXHLevel3X 3 7 2 4" xfId="51251" xr:uid="{00000000-0005-0000-0000-0000E1C10000}"/>
    <cellStyle name="SAPBEXHLevel3X 3 7 3" xfId="49610" xr:uid="{00000000-0005-0000-0000-0000E2C10000}"/>
    <cellStyle name="SAPBEXHLevel3X 3 7 3 2" xfId="49938" xr:uid="{00000000-0005-0000-0000-0000E3C10000}"/>
    <cellStyle name="SAPBEXHLevel3X 3 7 3 2 2" xfId="50082" xr:uid="{00000000-0005-0000-0000-0000E4C10000}"/>
    <cellStyle name="SAPBEXHLevel3X 3 7 3 2 3" xfId="51408" xr:uid="{00000000-0005-0000-0000-0000E5C10000}"/>
    <cellStyle name="SAPBEXHLevel3X 3 7 3 3" xfId="50834" xr:uid="{00000000-0005-0000-0000-0000E6C10000}"/>
    <cellStyle name="SAPBEXHLevel3X 3 7 3 4" xfId="51373" xr:uid="{00000000-0005-0000-0000-0000E7C10000}"/>
    <cellStyle name="SAPBEXHLevel3X 3 7 4" xfId="49715" xr:uid="{00000000-0005-0000-0000-0000E8C10000}"/>
    <cellStyle name="SAPBEXHLevel3X 3 7 4 2" xfId="50274" xr:uid="{00000000-0005-0000-0000-0000E9C10000}"/>
    <cellStyle name="SAPBEXHLevel3X 3 7 4 3" xfId="51515" xr:uid="{00000000-0005-0000-0000-0000EAC10000}"/>
    <cellStyle name="SAPBEXHLevel3X 3 7 5" xfId="49981" xr:uid="{00000000-0005-0000-0000-0000EBC10000}"/>
    <cellStyle name="SAPBEXHLevel3X 3 7 5 2" xfId="51026" xr:uid="{00000000-0005-0000-0000-0000ECC10000}"/>
    <cellStyle name="SAPBEXHLevel3X 3 7 5 3" xfId="51120" xr:uid="{00000000-0005-0000-0000-0000EDC10000}"/>
    <cellStyle name="SAPBEXHLevel3X 3 7 6" xfId="50681" xr:uid="{00000000-0005-0000-0000-0000EEC10000}"/>
    <cellStyle name="SAPBEXHLevel3X 3 7 7" xfId="50959" xr:uid="{00000000-0005-0000-0000-0000EFC10000}"/>
    <cellStyle name="SAPBEXHLevel3X 3 8" xfId="49333" xr:uid="{00000000-0005-0000-0000-0000F0C10000}"/>
    <cellStyle name="SAPBEXHLevel3X 3 8 2" xfId="49577" xr:uid="{00000000-0005-0000-0000-0000F1C10000}"/>
    <cellStyle name="SAPBEXHLevel3X 3 8 2 2" xfId="49905" xr:uid="{00000000-0005-0000-0000-0000F2C10000}"/>
    <cellStyle name="SAPBEXHLevel3X 3 8 2 2 2" xfId="50112" xr:uid="{00000000-0005-0000-0000-0000F3C10000}"/>
    <cellStyle name="SAPBEXHLevel3X 3 8 2 2 3" xfId="51539" xr:uid="{00000000-0005-0000-0000-0000F4C10000}"/>
    <cellStyle name="SAPBEXHLevel3X 3 8 2 3" xfId="50470" xr:uid="{00000000-0005-0000-0000-0000F5C10000}"/>
    <cellStyle name="SAPBEXHLevel3X 3 8 2 4" xfId="51508" xr:uid="{00000000-0005-0000-0000-0000F6C10000}"/>
    <cellStyle name="SAPBEXHLevel3X 3 8 3" xfId="49611" xr:uid="{00000000-0005-0000-0000-0000F7C10000}"/>
    <cellStyle name="SAPBEXHLevel3X 3 8 3 2" xfId="49939" xr:uid="{00000000-0005-0000-0000-0000F8C10000}"/>
    <cellStyle name="SAPBEXHLevel3X 3 8 3 2 2" xfId="50081" xr:uid="{00000000-0005-0000-0000-0000F9C10000}"/>
    <cellStyle name="SAPBEXHLevel3X 3 8 3 2 3" xfId="51667" xr:uid="{00000000-0005-0000-0000-0000FAC10000}"/>
    <cellStyle name="SAPBEXHLevel3X 3 8 3 3" xfId="50824" xr:uid="{00000000-0005-0000-0000-0000FBC10000}"/>
    <cellStyle name="SAPBEXHLevel3X 3 8 3 4" xfId="51635" xr:uid="{00000000-0005-0000-0000-0000FCC10000}"/>
    <cellStyle name="SAPBEXHLevel3X 3 8 4" xfId="49716" xr:uid="{00000000-0005-0000-0000-0000FDC10000}"/>
    <cellStyle name="SAPBEXHLevel3X 3 8 4 2" xfId="50992" xr:uid="{00000000-0005-0000-0000-0000FEC10000}"/>
    <cellStyle name="SAPBEXHLevel3X 3 8 4 3" xfId="51256" xr:uid="{00000000-0005-0000-0000-0000FFC10000}"/>
    <cellStyle name="SAPBEXHLevel3X 3 8 5" xfId="49968" xr:uid="{00000000-0005-0000-0000-000000C20000}"/>
    <cellStyle name="SAPBEXHLevel3X 3 8 5 2" xfId="51013" xr:uid="{00000000-0005-0000-0000-000001C20000}"/>
    <cellStyle name="SAPBEXHLevel3X 3 8 5 3" xfId="51324" xr:uid="{00000000-0005-0000-0000-000002C20000}"/>
    <cellStyle name="SAPBEXHLevel3X 3 8 6" xfId="50680" xr:uid="{00000000-0005-0000-0000-000003C20000}"/>
    <cellStyle name="SAPBEXHLevel3X 3 8 7" xfId="50645" xr:uid="{00000000-0005-0000-0000-000004C20000}"/>
    <cellStyle name="SAPBEXHLevel3X 3 9" xfId="49570" xr:uid="{00000000-0005-0000-0000-000005C20000}"/>
    <cellStyle name="SAPBEXHLevel3X 3 9 2" xfId="49898" xr:uid="{00000000-0005-0000-0000-000006C20000}"/>
    <cellStyle name="SAPBEXHLevel3X 3 9 2 2" xfId="50119" xr:uid="{00000000-0005-0000-0000-000007C20000}"/>
    <cellStyle name="SAPBEXHLevel3X 3 9 2 3" xfId="51288" xr:uid="{00000000-0005-0000-0000-000008C20000}"/>
    <cellStyle name="SAPBEXHLevel3X 3 9 3" xfId="50477" xr:uid="{00000000-0005-0000-0000-000009C20000}"/>
    <cellStyle name="SAPBEXHLevel3X 3 9 4" xfId="51507"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4" xr:uid="{00000000-0005-0000-0000-00000FC20000}"/>
    <cellStyle name="SAPBEXHLevel3X 4" xfId="46615" xr:uid="{00000000-0005-0000-0000-000010C20000}"/>
    <cellStyle name="SAPBEXHLevel3X 4 2" xfId="46616" xr:uid="{00000000-0005-0000-0000-000011C20000}"/>
    <cellStyle name="SAPBEXHLevel3X 4 2 2" xfId="50121" xr:uid="{00000000-0005-0000-0000-000012C20000}"/>
    <cellStyle name="SAPBEXHLevel3X 4 2 3" xfId="51613" xr:uid="{00000000-0005-0000-0000-000013C20000}"/>
    <cellStyle name="SAPBEXHLevel3X 4 2 4" xfId="49896" xr:uid="{00000000-0005-0000-0000-000014C20000}"/>
    <cellStyle name="SAPBEXHLevel3X 4 3" xfId="50479" xr:uid="{00000000-0005-0000-0000-000015C20000}"/>
    <cellStyle name="SAPBEXHLevel3X 4 4" xfId="50963" xr:uid="{00000000-0005-0000-0000-000016C20000}"/>
    <cellStyle name="SAPBEXHLevel3X 4 5" xfId="49568" xr:uid="{00000000-0005-0000-0000-000017C20000}"/>
    <cellStyle name="SAPBEXHLevel3X 5" xfId="46617" xr:uid="{00000000-0005-0000-0000-000018C20000}"/>
    <cellStyle name="SAPBEXHLevel3X 5 2" xfId="46618" xr:uid="{00000000-0005-0000-0000-000019C20000}"/>
    <cellStyle name="SAPBEXHLevel3X 5 2 2" xfId="50860" xr:uid="{00000000-0005-0000-0000-00001AC20000}"/>
    <cellStyle name="SAPBEXHLevel3X 5 2 3" xfId="51523" xr:uid="{00000000-0005-0000-0000-00001BC20000}"/>
    <cellStyle name="SAPBEXHLevel3X 5 2 4" xfId="49732" xr:uid="{00000000-0005-0000-0000-00001CC20000}"/>
    <cellStyle name="SAPBEXHLevel3X 5 3" xfId="50642" xr:uid="{00000000-0005-0000-0000-00001DC20000}"/>
    <cellStyle name="SAPBEXHLevel3X 5 4" xfId="51485" xr:uid="{00000000-0005-0000-0000-00001EC20000}"/>
    <cellStyle name="SAPBEXHLevel3X 5 5" xfId="49404" xr:uid="{00000000-0005-0000-0000-00001FC20000}"/>
    <cellStyle name="SAPBEXHLevel3X 6" xfId="46619" xr:uid="{00000000-0005-0000-0000-000020C20000}"/>
    <cellStyle name="SAPBEXHLevel3X 6 2" xfId="46620" xr:uid="{00000000-0005-0000-0000-000021C20000}"/>
    <cellStyle name="SAPBEXHLevel3X 6 2 2" xfId="50282" xr:uid="{00000000-0005-0000-0000-000022C20000}"/>
    <cellStyle name="SAPBEXHLevel3X 6 3" xfId="51265" xr:uid="{00000000-0005-0000-0000-000023C20000}"/>
    <cellStyle name="SAPBEXHLevel3X 6 4" xfId="49707" xr:uid="{00000000-0005-0000-0000-000024C20000}"/>
    <cellStyle name="SAPBEXHLevel3X 7" xfId="46621" xr:uid="{00000000-0005-0000-0000-000025C20000}"/>
    <cellStyle name="SAPBEXHLevel3X 7 2" xfId="46622" xr:uid="{00000000-0005-0000-0000-000026C20000}"/>
    <cellStyle name="SAPBEXHLevel3X 7 2 2" xfId="51098" xr:uid="{00000000-0005-0000-0000-000027C20000}"/>
    <cellStyle name="SAPBEXHLevel3X 7 3" xfId="50988" xr:uid="{00000000-0005-0000-0000-000028C20000}"/>
    <cellStyle name="SAPBEXHLevel3X 7 4" xfId="50054" xr:uid="{00000000-0005-0000-0000-000029C20000}"/>
    <cellStyle name="SAPBEXHLevel3X 8" xfId="46623" xr:uid="{00000000-0005-0000-0000-00002AC20000}"/>
    <cellStyle name="SAPBEXHLevel3X 8 2" xfId="46624" xr:uid="{00000000-0005-0000-0000-00002BC20000}"/>
    <cellStyle name="SAPBEXHLevel3X 8 3" xfId="50689" xr:uid="{00000000-0005-0000-0000-00002CC20000}"/>
    <cellStyle name="SAPBEXHLevel3X 9" xfId="46625" xr:uid="{00000000-0005-0000-0000-00002DC20000}"/>
    <cellStyle name="SAPBEXHLevel3X 9 2" xfId="46626" xr:uid="{00000000-0005-0000-0000-00002EC20000}"/>
    <cellStyle name="SAPBEXHLevel3X 9 3" xfId="50664"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4"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5"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7"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2"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3" xr:uid="{00000000-0005-0000-0000-000047C30000}"/>
    <cellStyle name="SAPBEXinputData 3 3 3" xfId="46900" xr:uid="{00000000-0005-0000-0000-000048C30000}"/>
    <cellStyle name="SAPBEXinputData 3 3 4" xfId="49338" xr:uid="{00000000-0005-0000-0000-000049C30000}"/>
    <cellStyle name="SAPBEXinputData 3 30" xfId="46901" xr:uid="{00000000-0005-0000-0000-00004AC30000}"/>
    <cellStyle name="SAPBEXinputData 3 31" xfId="49336" xr:uid="{00000000-0005-0000-0000-00004BC30000}"/>
    <cellStyle name="SAPBEXinputData 3 4" xfId="46902" xr:uid="{00000000-0005-0000-0000-00004CC30000}"/>
    <cellStyle name="SAPBEXinputData 3 4 2" xfId="46903" xr:uid="{00000000-0005-0000-0000-00004DC30000}"/>
    <cellStyle name="SAPBEXinputData 3 4 2 2" xfId="49394" xr:uid="{00000000-0005-0000-0000-00004EC30000}"/>
    <cellStyle name="SAPBEXinputData 3 4 3" xfId="49339" xr:uid="{00000000-0005-0000-0000-00004FC30000}"/>
    <cellStyle name="SAPBEXinputData 3 5" xfId="46904" xr:uid="{00000000-0005-0000-0000-000050C30000}"/>
    <cellStyle name="SAPBEXinputData 3 5 2" xfId="46905" xr:uid="{00000000-0005-0000-0000-000051C30000}"/>
    <cellStyle name="SAPBEXinputData 3 5 2 2" xfId="49395" xr:uid="{00000000-0005-0000-0000-000052C30000}"/>
    <cellStyle name="SAPBEXinputData 3 5 3" xfId="49340" xr:uid="{00000000-0005-0000-0000-000053C30000}"/>
    <cellStyle name="SAPBEXinputData 3 6" xfId="46906" xr:uid="{00000000-0005-0000-0000-000054C30000}"/>
    <cellStyle name="SAPBEXinputData 3 6 2" xfId="46907" xr:uid="{00000000-0005-0000-0000-000055C30000}"/>
    <cellStyle name="SAPBEXinputData 3 6 2 2" xfId="49396" xr:uid="{00000000-0005-0000-0000-000056C30000}"/>
    <cellStyle name="SAPBEXinputData 3 6 3" xfId="49341" xr:uid="{00000000-0005-0000-0000-000057C30000}"/>
    <cellStyle name="SAPBEXinputData 3 7" xfId="46908" xr:uid="{00000000-0005-0000-0000-000058C30000}"/>
    <cellStyle name="SAPBEXinputData 3 7 2" xfId="46909" xr:uid="{00000000-0005-0000-0000-000059C30000}"/>
    <cellStyle name="SAPBEXinputData 3 7 2 2" xfId="49397" xr:uid="{00000000-0005-0000-0000-00005AC30000}"/>
    <cellStyle name="SAPBEXinputData 3 7 3" xfId="49342" xr:uid="{00000000-0005-0000-0000-00005BC30000}"/>
    <cellStyle name="SAPBEXinputData 3 8" xfId="46910" xr:uid="{00000000-0005-0000-0000-00005CC30000}"/>
    <cellStyle name="SAPBEXinputData 3 8 2" xfId="46911" xr:uid="{00000000-0005-0000-0000-00005DC30000}"/>
    <cellStyle name="SAPBEXinputData 3 8 2 2" xfId="49398" xr:uid="{00000000-0005-0000-0000-00005EC30000}"/>
    <cellStyle name="SAPBEXinputData 3 8 3" xfId="49343" xr:uid="{00000000-0005-0000-0000-00005FC30000}"/>
    <cellStyle name="SAPBEXinputData 3 9" xfId="46912" xr:uid="{00000000-0005-0000-0000-000060C30000}"/>
    <cellStyle name="SAPBEXinputData 3 9 2" xfId="46913" xr:uid="{00000000-0005-0000-0000-000061C30000}"/>
    <cellStyle name="SAPBEXinputData 3 9 3" xfId="49391"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90"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10" xr:uid="{00000000-0005-0000-0000-000002C40000}"/>
    <cellStyle name="SAPBEXItemHeader 2 2 3" xfId="51537" xr:uid="{00000000-0005-0000-0000-000003C40000}"/>
    <cellStyle name="SAPBEXItemHeader 2 2 4" xfId="49907" xr:uid="{00000000-0005-0000-0000-000004C40000}"/>
    <cellStyle name="SAPBEXItemHeader 2 3" xfId="47072" xr:uid="{00000000-0005-0000-0000-000005C40000}"/>
    <cellStyle name="SAPBEXItemHeader 2 3 2" xfId="50468" xr:uid="{00000000-0005-0000-0000-000006C40000}"/>
    <cellStyle name="SAPBEXItemHeader 2 4" xfId="51445" xr:uid="{00000000-0005-0000-0000-000007C40000}"/>
    <cellStyle name="SAPBEXItemHeader 2 5" xfId="49579"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40" xr:uid="{00000000-0005-0000-0000-000014C40000}"/>
    <cellStyle name="SAPBEXItemHeader 3 2 2" xfId="50080" xr:uid="{00000000-0005-0000-0000-000015C40000}"/>
    <cellStyle name="SAPBEXItemHeader 3 2 3" xfId="50791" xr:uid="{00000000-0005-0000-0000-000016C40000}"/>
    <cellStyle name="SAPBEXItemHeader 3 3" xfId="50068" xr:uid="{00000000-0005-0000-0000-000017C40000}"/>
    <cellStyle name="SAPBEXItemHeader 3 4" xfId="51254" xr:uid="{00000000-0005-0000-0000-000018C40000}"/>
    <cellStyle name="SAPBEXItemHeader 3 5" xfId="49612"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4" xr:uid="{00000000-0005-0000-0000-00001DC40000}"/>
    <cellStyle name="SAPBEXItemHeader 4" xfId="47087" xr:uid="{00000000-0005-0000-0000-00001EC40000}"/>
    <cellStyle name="SAPBEXItemHeader 4 2" xfId="50903" xr:uid="{00000000-0005-0000-0000-00001FC40000}"/>
    <cellStyle name="SAPBEXItemHeader 4 3" xfId="51513" xr:uid="{00000000-0005-0000-0000-000020C40000}"/>
    <cellStyle name="SAPBEXItemHeader 4 4" xfId="49717" xr:uid="{00000000-0005-0000-0000-000021C40000}"/>
    <cellStyle name="SAPBEXItemHeader 5" xfId="47088" xr:uid="{00000000-0005-0000-0000-000022C40000}"/>
    <cellStyle name="SAPBEXItemHeader 5 2" xfId="51096" xr:uid="{00000000-0005-0000-0000-000023C40000}"/>
    <cellStyle name="SAPBEXItemHeader 5 3" xfId="51419" xr:uid="{00000000-0005-0000-0000-000024C40000}"/>
    <cellStyle name="SAPBEXItemHeader 5 4" xfId="50052" xr:uid="{00000000-0005-0000-0000-000025C40000}"/>
    <cellStyle name="SAPBEXItemHeader 6" xfId="47089" xr:uid="{00000000-0005-0000-0000-000026C40000}"/>
    <cellStyle name="SAPBEXItemHeader 6 2" xfId="50678" xr:uid="{00000000-0005-0000-0000-000027C40000}"/>
    <cellStyle name="SAPBEXItemHeader 7" xfId="47090" xr:uid="{00000000-0005-0000-0000-000028C40000}"/>
    <cellStyle name="SAPBEXItemHeader 7 2" xfId="50912"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9" xr:uid="{00000000-0005-0000-0000-000039C40000}"/>
    <cellStyle name="SAPBEXresData 2 2 3" xfId="51162" xr:uid="{00000000-0005-0000-0000-00003AC40000}"/>
    <cellStyle name="SAPBEXresData 2 2 4" xfId="49908" xr:uid="{00000000-0005-0000-0000-00003BC40000}"/>
    <cellStyle name="SAPBEXresData 2 3" xfId="47105" xr:uid="{00000000-0005-0000-0000-00003CC40000}"/>
    <cellStyle name="SAPBEXresData 2 3 2" xfId="50467" xr:uid="{00000000-0005-0000-0000-00003DC40000}"/>
    <cellStyle name="SAPBEXresData 2 4" xfId="51369" xr:uid="{00000000-0005-0000-0000-00003EC40000}"/>
    <cellStyle name="SAPBEXresData 2 5" xfId="49580"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1" xr:uid="{00000000-0005-0000-0000-00004BC40000}"/>
    <cellStyle name="SAPBEXresData 3 2 2" xfId="50079" xr:uid="{00000000-0005-0000-0000-00004CC40000}"/>
    <cellStyle name="SAPBEXresData 3 2 3" xfId="50868" xr:uid="{00000000-0005-0000-0000-00004DC40000}"/>
    <cellStyle name="SAPBEXresData 3 3" xfId="50440" xr:uid="{00000000-0005-0000-0000-00004EC40000}"/>
    <cellStyle name="SAPBEXresData 3 4" xfId="51511" xr:uid="{00000000-0005-0000-0000-00004FC40000}"/>
    <cellStyle name="SAPBEXresData 3 5" xfId="49613"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5" xr:uid="{00000000-0005-0000-0000-000054C40000}"/>
    <cellStyle name="SAPBEXresData 4" xfId="47120" xr:uid="{00000000-0005-0000-0000-000055C40000}"/>
    <cellStyle name="SAPBEXresData 4 2" xfId="50967" xr:uid="{00000000-0005-0000-0000-000056C40000}"/>
    <cellStyle name="SAPBEXresData 4 3" xfId="51182" xr:uid="{00000000-0005-0000-0000-000057C40000}"/>
    <cellStyle name="SAPBEXresData 4 4" xfId="49718" xr:uid="{00000000-0005-0000-0000-000058C40000}"/>
    <cellStyle name="SAPBEXresData 5" xfId="47121" xr:uid="{00000000-0005-0000-0000-000059C40000}"/>
    <cellStyle name="SAPBEXresData 5 2" xfId="51008" xr:uid="{00000000-0005-0000-0000-00005AC40000}"/>
    <cellStyle name="SAPBEXresData 5 3" xfId="51118" xr:uid="{00000000-0005-0000-0000-00005BC40000}"/>
    <cellStyle name="SAPBEXresData 5 4" xfId="49963" xr:uid="{00000000-0005-0000-0000-00005CC40000}"/>
    <cellStyle name="SAPBEXresData 6" xfId="47122" xr:uid="{00000000-0005-0000-0000-00005DC40000}"/>
    <cellStyle name="SAPBEXresData 6 2" xfId="50677" xr:uid="{00000000-0005-0000-0000-00005EC40000}"/>
    <cellStyle name="SAPBEXresData 7" xfId="47123" xr:uid="{00000000-0005-0000-0000-00005FC40000}"/>
    <cellStyle name="SAPBEXresData 7 2" xfId="51148"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6"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8" xr:uid="{00000000-0005-0000-0000-000095C40000}"/>
    <cellStyle name="SAPBEXresItem 2 2 3" xfId="51422" xr:uid="{00000000-0005-0000-0000-000096C40000}"/>
    <cellStyle name="SAPBEXresItem 2 2 4" xfId="49909" xr:uid="{00000000-0005-0000-0000-000097C40000}"/>
    <cellStyle name="SAPBEXresItem 2 3" xfId="47173" xr:uid="{00000000-0005-0000-0000-000098C40000}"/>
    <cellStyle name="SAPBEXresItem 2 3 2" xfId="50466" xr:uid="{00000000-0005-0000-0000-000099C40000}"/>
    <cellStyle name="SAPBEXresItem 2 4" xfId="51638" xr:uid="{00000000-0005-0000-0000-00009AC40000}"/>
    <cellStyle name="SAPBEXresItem 2 5" xfId="49581"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2" xr:uid="{00000000-0005-0000-0000-0000A7C40000}"/>
    <cellStyle name="SAPBEXresItem 3 2 2" xfId="50828" xr:uid="{00000000-0005-0000-0000-0000A8C40000}"/>
    <cellStyle name="SAPBEXresItem 3 2 3" xfId="50989" xr:uid="{00000000-0005-0000-0000-0000A9C40000}"/>
    <cellStyle name="SAPBEXresItem 3 3" xfId="50439" xr:uid="{00000000-0005-0000-0000-0000AAC40000}"/>
    <cellStyle name="SAPBEXresItem 3 4" xfId="51184" xr:uid="{00000000-0005-0000-0000-0000ABC40000}"/>
    <cellStyle name="SAPBEXresItem 3 5" xfId="49614"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7" xr:uid="{00000000-0005-0000-0000-0000B0C40000}"/>
    <cellStyle name="SAPBEXresItem 4" xfId="47188" xr:uid="{00000000-0005-0000-0000-0000B1C40000}"/>
    <cellStyle name="SAPBEXresItem 4 2" xfId="50896" xr:uid="{00000000-0005-0000-0000-0000B2C40000}"/>
    <cellStyle name="SAPBEXresItem 4 3" xfId="50924" xr:uid="{00000000-0005-0000-0000-0000B3C40000}"/>
    <cellStyle name="SAPBEXresItem 4 4" xfId="49719" xr:uid="{00000000-0005-0000-0000-0000B4C40000}"/>
    <cellStyle name="SAPBEXresItem 5" xfId="47189" xr:uid="{00000000-0005-0000-0000-0000B5C40000}"/>
    <cellStyle name="SAPBEXresItem 5 2" xfId="51007" xr:uid="{00000000-0005-0000-0000-0000B6C40000}"/>
    <cellStyle name="SAPBEXresItem 5 3" xfId="51596" xr:uid="{00000000-0005-0000-0000-0000B7C40000}"/>
    <cellStyle name="SAPBEXresItem 5 4" xfId="49962" xr:uid="{00000000-0005-0000-0000-0000B8C40000}"/>
    <cellStyle name="SAPBEXresItem 6" xfId="47190" xr:uid="{00000000-0005-0000-0000-0000B9C40000}"/>
    <cellStyle name="SAPBEXresItem 6 2" xfId="50676" xr:uid="{00000000-0005-0000-0000-0000BAC40000}"/>
    <cellStyle name="SAPBEXresItem 7" xfId="47191" xr:uid="{00000000-0005-0000-0000-0000BBC40000}"/>
    <cellStyle name="SAPBEXresItem 7 2" xfId="50643"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7" xr:uid="{00000000-0005-0000-0000-0000CDC40000}"/>
    <cellStyle name="SAPBEXresItemX 2 2 3" xfId="51398" xr:uid="{00000000-0005-0000-0000-0000CEC40000}"/>
    <cellStyle name="SAPBEXresItemX 2 2 4" xfId="49910" xr:uid="{00000000-0005-0000-0000-0000CFC40000}"/>
    <cellStyle name="SAPBEXresItemX 2 3" xfId="47207" xr:uid="{00000000-0005-0000-0000-0000D0C40000}"/>
    <cellStyle name="SAPBEXresItemX 2 3 2" xfId="50465" xr:uid="{00000000-0005-0000-0000-0000D1C40000}"/>
    <cellStyle name="SAPBEXresItemX 2 4" xfId="50979" xr:uid="{00000000-0005-0000-0000-0000D2C40000}"/>
    <cellStyle name="SAPBEXresItemX 2 5" xfId="49582"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3" xr:uid="{00000000-0005-0000-0000-0000DFC40000}"/>
    <cellStyle name="SAPBEXresItemX 3 2 2" xfId="50078" xr:uid="{00000000-0005-0000-0000-0000E0C40000}"/>
    <cellStyle name="SAPBEXresItemX 3 2 3" xfId="50938" xr:uid="{00000000-0005-0000-0000-0000E1C40000}"/>
    <cellStyle name="SAPBEXresItemX 3 3" xfId="50438" xr:uid="{00000000-0005-0000-0000-0000E2C40000}"/>
    <cellStyle name="SAPBEXresItemX 3 4" xfId="51442" xr:uid="{00000000-0005-0000-0000-0000E3C40000}"/>
    <cellStyle name="SAPBEXresItemX 3 5" xfId="49615"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8" xr:uid="{00000000-0005-0000-0000-0000E8C40000}"/>
    <cellStyle name="SAPBEXresItemX 4" xfId="47222" xr:uid="{00000000-0005-0000-0000-0000E9C40000}"/>
    <cellStyle name="SAPBEXresItemX 4 2" xfId="50954" xr:uid="{00000000-0005-0000-0000-0000EAC40000}"/>
    <cellStyle name="SAPBEXresItemX 4 3" xfId="51440" xr:uid="{00000000-0005-0000-0000-0000EBC40000}"/>
    <cellStyle name="SAPBEXresItemX 4 4" xfId="49720" xr:uid="{00000000-0005-0000-0000-0000ECC40000}"/>
    <cellStyle name="SAPBEXresItemX 5" xfId="47223" xr:uid="{00000000-0005-0000-0000-0000EDC40000}"/>
    <cellStyle name="SAPBEXresItemX 5 2" xfId="51025" xr:uid="{00000000-0005-0000-0000-0000EEC40000}"/>
    <cellStyle name="SAPBEXresItemX 5 3" xfId="51611" xr:uid="{00000000-0005-0000-0000-0000EFC40000}"/>
    <cellStyle name="SAPBEXresItemX 5 4" xfId="49980" xr:uid="{00000000-0005-0000-0000-0000F0C40000}"/>
    <cellStyle name="SAPBEXresItemX 6" xfId="47224" xr:uid="{00000000-0005-0000-0000-0000F1C40000}"/>
    <cellStyle name="SAPBEXresItemX 6 2" xfId="50675" xr:uid="{00000000-0005-0000-0000-0000F2C40000}"/>
    <cellStyle name="SAPBEXresItemX 7" xfId="47225" xr:uid="{00000000-0005-0000-0000-0000F3C40000}"/>
    <cellStyle name="SAPBEXresItemX 7 2" xfId="51161"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6" xr:uid="{00000000-0005-0000-0000-000004C50000}"/>
    <cellStyle name="SAPBEXstdData 2 2 3" xfId="51669" xr:uid="{00000000-0005-0000-0000-000005C50000}"/>
    <cellStyle name="SAPBEXstdData 2 2 4" xfId="49911" xr:uid="{00000000-0005-0000-0000-000006C50000}"/>
    <cellStyle name="SAPBEXstdData 2 3" xfId="47240" xr:uid="{00000000-0005-0000-0000-000007C50000}"/>
    <cellStyle name="SAPBEXstdData 2 3 2" xfId="50464" xr:uid="{00000000-0005-0000-0000-000008C50000}"/>
    <cellStyle name="SAPBEXstdData 2 4" xfId="51252" xr:uid="{00000000-0005-0000-0000-000009C50000}"/>
    <cellStyle name="SAPBEXstdData 2 5" xfId="49583"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4" xr:uid="{00000000-0005-0000-0000-000016C50000}"/>
    <cellStyle name="SAPBEXstdData 3 2 2" xfId="50077" xr:uid="{00000000-0005-0000-0000-000017C50000}"/>
    <cellStyle name="SAPBEXstdData 3 2 3" xfId="50934" xr:uid="{00000000-0005-0000-0000-000018C50000}"/>
    <cellStyle name="SAPBEXstdData 3 3" xfId="50437" xr:uid="{00000000-0005-0000-0000-000019C50000}"/>
    <cellStyle name="SAPBEXstdData 3 4" xfId="51309" xr:uid="{00000000-0005-0000-0000-00001AC50000}"/>
    <cellStyle name="SAPBEXstdData 3 5" xfId="49616"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9" xr:uid="{00000000-0005-0000-0000-00001FC50000}"/>
    <cellStyle name="SAPBEXstdData 4" xfId="47255" xr:uid="{00000000-0005-0000-0000-000020C50000}"/>
    <cellStyle name="SAPBEXstdData 4 2" xfId="49957" xr:uid="{00000000-0005-0000-0000-000021C50000}"/>
    <cellStyle name="SAPBEXstdData 4 2 2" xfId="51002" xr:uid="{00000000-0005-0000-0000-000022C50000}"/>
    <cellStyle name="SAPBEXstdData 4 2 3" xfId="51292" xr:uid="{00000000-0005-0000-0000-000023C50000}"/>
    <cellStyle name="SAPBEXstdData 4 3" xfId="50429" xr:uid="{00000000-0005-0000-0000-000024C50000}"/>
    <cellStyle name="SAPBEXstdData 4 4" xfId="51514" xr:uid="{00000000-0005-0000-0000-000025C50000}"/>
    <cellStyle name="SAPBEXstdData 4 5" xfId="49629" xr:uid="{00000000-0005-0000-0000-000026C50000}"/>
    <cellStyle name="SAPBEXstdData 5" xfId="47256" xr:uid="{00000000-0005-0000-0000-000027C50000}"/>
    <cellStyle name="SAPBEXstdData 5 2" xfId="50881" xr:uid="{00000000-0005-0000-0000-000028C50000}"/>
    <cellStyle name="SAPBEXstdData 5 3" xfId="51374" xr:uid="{00000000-0005-0000-0000-000029C50000}"/>
    <cellStyle name="SAPBEXstdData 5 4" xfId="49721" xr:uid="{00000000-0005-0000-0000-00002AC50000}"/>
    <cellStyle name="SAPBEXstdData 6" xfId="47257" xr:uid="{00000000-0005-0000-0000-00002BC50000}"/>
    <cellStyle name="SAPBEXstdData 6 2" xfId="51024" xr:uid="{00000000-0005-0000-0000-00002CC50000}"/>
    <cellStyle name="SAPBEXstdData 6 3" xfId="51412" xr:uid="{00000000-0005-0000-0000-00002DC50000}"/>
    <cellStyle name="SAPBEXstdData 6 4" xfId="49979" xr:uid="{00000000-0005-0000-0000-00002EC50000}"/>
    <cellStyle name="SAPBEXstdData 7" xfId="47258" xr:uid="{00000000-0005-0000-0000-00002FC50000}"/>
    <cellStyle name="SAPBEXstdData 7 2" xfId="50674" xr:uid="{00000000-0005-0000-0000-000030C50000}"/>
    <cellStyle name="SAPBEXstdData 8" xfId="47259" xr:uid="{00000000-0005-0000-0000-000031C50000}"/>
    <cellStyle name="SAPBEXstdData 8 2" xfId="50919" xr:uid="{00000000-0005-0000-0000-000032C50000}"/>
    <cellStyle name="SAPBEXstdData 9" xfId="47260" xr:uid="{00000000-0005-0000-0000-000033C50000}"/>
    <cellStyle name="SAPBEXstdData 9 2" xfId="50872"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5" xr:uid="{00000000-0005-0000-0000-000043C50000}"/>
    <cellStyle name="SAPBEXstdDataEmph 2 2 3" xfId="51103" xr:uid="{00000000-0005-0000-0000-000044C50000}"/>
    <cellStyle name="SAPBEXstdDataEmph 2 2 4" xfId="49912" xr:uid="{00000000-0005-0000-0000-000045C50000}"/>
    <cellStyle name="SAPBEXstdDataEmph 2 3" xfId="47274" xr:uid="{00000000-0005-0000-0000-000046C50000}"/>
    <cellStyle name="SAPBEXstdDataEmph 2 3 2" xfId="50463" xr:uid="{00000000-0005-0000-0000-000047C50000}"/>
    <cellStyle name="SAPBEXstdDataEmph 2 4" xfId="51509" xr:uid="{00000000-0005-0000-0000-000048C50000}"/>
    <cellStyle name="SAPBEXstdDataEmph 2 5" xfId="49584"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5" xr:uid="{00000000-0005-0000-0000-000055C50000}"/>
    <cellStyle name="SAPBEXstdDataEmph 3 2 2" xfId="50076" xr:uid="{00000000-0005-0000-0000-000056C50000}"/>
    <cellStyle name="SAPBEXstdDataEmph 3 2 3" xfId="50858" xr:uid="{00000000-0005-0000-0000-000057C50000}"/>
    <cellStyle name="SAPBEXstdDataEmph 3 3" xfId="50436" xr:uid="{00000000-0005-0000-0000-000058C50000}"/>
    <cellStyle name="SAPBEXstdDataEmph 3 4" xfId="51566" xr:uid="{00000000-0005-0000-0000-000059C50000}"/>
    <cellStyle name="SAPBEXstdDataEmph 3 5" xfId="49617"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50" xr:uid="{00000000-0005-0000-0000-00005EC50000}"/>
    <cellStyle name="SAPBEXstdDataEmph 4" xfId="47289" xr:uid="{00000000-0005-0000-0000-00005FC50000}"/>
    <cellStyle name="SAPBEXstdDataEmph 4 2" xfId="49958" xr:uid="{00000000-0005-0000-0000-000060C50000}"/>
    <cellStyle name="SAPBEXstdDataEmph 4 2 2" xfId="51003" xr:uid="{00000000-0005-0000-0000-000061C50000}"/>
    <cellStyle name="SAPBEXstdDataEmph 4 2 3" xfId="51550" xr:uid="{00000000-0005-0000-0000-000062C50000}"/>
    <cellStyle name="SAPBEXstdDataEmph 4 3" xfId="50990" xr:uid="{00000000-0005-0000-0000-000063C50000}"/>
    <cellStyle name="SAPBEXstdDataEmph 4 4" xfId="51181" xr:uid="{00000000-0005-0000-0000-000064C50000}"/>
    <cellStyle name="SAPBEXstdDataEmph 4 5" xfId="49630" xr:uid="{00000000-0005-0000-0000-000065C50000}"/>
    <cellStyle name="SAPBEXstdDataEmph 5" xfId="47290" xr:uid="{00000000-0005-0000-0000-000066C50000}"/>
    <cellStyle name="SAPBEXstdDataEmph 5 2" xfId="50926" xr:uid="{00000000-0005-0000-0000-000067C50000}"/>
    <cellStyle name="SAPBEXstdDataEmph 5 3" xfId="51634" xr:uid="{00000000-0005-0000-0000-000068C50000}"/>
    <cellStyle name="SAPBEXstdDataEmph 5 4" xfId="49722" xr:uid="{00000000-0005-0000-0000-000069C50000}"/>
    <cellStyle name="SAPBEXstdDataEmph 6" xfId="47291" xr:uid="{00000000-0005-0000-0000-00006AC50000}"/>
    <cellStyle name="SAPBEXstdDataEmph 6 2" xfId="51023" xr:uid="{00000000-0005-0000-0000-00006BC50000}"/>
    <cellStyle name="SAPBEXstdDataEmph 6 3" xfId="51591" xr:uid="{00000000-0005-0000-0000-00006CC50000}"/>
    <cellStyle name="SAPBEXstdDataEmph 6 4" xfId="49978" xr:uid="{00000000-0005-0000-0000-00006DC50000}"/>
    <cellStyle name="SAPBEXstdDataEmph 7" xfId="47292" xr:uid="{00000000-0005-0000-0000-00006EC50000}"/>
    <cellStyle name="SAPBEXstdDataEmph 7 2" xfId="50673" xr:uid="{00000000-0005-0000-0000-00006FC50000}"/>
    <cellStyle name="SAPBEXstdDataEmph 8" xfId="47293" xr:uid="{00000000-0005-0000-0000-000070C50000}"/>
    <cellStyle name="SAPBEXstdDataEmph 8 2" xfId="50973" xr:uid="{00000000-0005-0000-0000-000071C50000}"/>
    <cellStyle name="SAPBEXstdDataEmph 9" xfId="47294" xr:uid="{00000000-0005-0000-0000-000072C50000}"/>
    <cellStyle name="SAPBEXstdDataEmph 9 2" xfId="51678"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4" xr:uid="{00000000-0005-0000-0000-000082C50000}"/>
    <cellStyle name="SAPBEXstdItem 2 2 3" xfId="51104" xr:uid="{00000000-0005-0000-0000-000083C50000}"/>
    <cellStyle name="SAPBEXstdItem 2 2 4" xfId="49913" xr:uid="{00000000-0005-0000-0000-000084C50000}"/>
    <cellStyle name="SAPBEXstdItem 2 3" xfId="47308" xr:uid="{00000000-0005-0000-0000-000085C50000}"/>
    <cellStyle name="SAPBEXstdItem 2 3 2" xfId="50462" xr:uid="{00000000-0005-0000-0000-000086C50000}"/>
    <cellStyle name="SAPBEXstdItem 2 4" xfId="51186" xr:uid="{00000000-0005-0000-0000-000087C50000}"/>
    <cellStyle name="SAPBEXstdItem 2 5" xfId="49585"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6" xr:uid="{00000000-0005-0000-0000-000094C50000}"/>
    <cellStyle name="SAPBEXstdItem 3 2 2" xfId="50827" xr:uid="{00000000-0005-0000-0000-000095C50000}"/>
    <cellStyle name="SAPBEXstdItem 3 2 3" xfId="51115" xr:uid="{00000000-0005-0000-0000-000096C50000}"/>
    <cellStyle name="SAPBEXstdItem 3 3" xfId="50435" xr:uid="{00000000-0005-0000-0000-000097C50000}"/>
    <cellStyle name="SAPBEXstdItem 3 4" xfId="51372" xr:uid="{00000000-0005-0000-0000-000098C50000}"/>
    <cellStyle name="SAPBEXstdItem 3 5" xfId="49618"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1" xr:uid="{00000000-0005-0000-0000-00009DC50000}"/>
    <cellStyle name="SAPBEXstdItem 4" xfId="47323" xr:uid="{00000000-0005-0000-0000-00009EC50000}"/>
    <cellStyle name="SAPBEXstdItem 4 2" xfId="49959" xr:uid="{00000000-0005-0000-0000-00009FC50000}"/>
    <cellStyle name="SAPBEXstdItem 4 2 2" xfId="51004" xr:uid="{00000000-0005-0000-0000-0000A0C50000}"/>
    <cellStyle name="SAPBEXstdItem 4 2 3" xfId="51323" xr:uid="{00000000-0005-0000-0000-0000A1C50000}"/>
    <cellStyle name="SAPBEXstdItem 4 3" xfId="50905" xr:uid="{00000000-0005-0000-0000-0000A2C50000}"/>
    <cellStyle name="SAPBEXstdItem 4 4" xfId="51439" xr:uid="{00000000-0005-0000-0000-0000A3C50000}"/>
    <cellStyle name="SAPBEXstdItem 4 5" xfId="49631" xr:uid="{00000000-0005-0000-0000-0000A4C50000}"/>
    <cellStyle name="SAPBEXstdItem 5" xfId="47324" xr:uid="{00000000-0005-0000-0000-0000A5C50000}"/>
    <cellStyle name="SAPBEXstdItem 5 2" xfId="50861" xr:uid="{00000000-0005-0000-0000-0000A6C50000}"/>
    <cellStyle name="SAPBEXstdItem 5 3" xfId="50893" xr:uid="{00000000-0005-0000-0000-0000A7C50000}"/>
    <cellStyle name="SAPBEXstdItem 5 4" xfId="49723" xr:uid="{00000000-0005-0000-0000-0000A8C50000}"/>
    <cellStyle name="SAPBEXstdItem 6" xfId="47325" xr:uid="{00000000-0005-0000-0000-0000A9C50000}"/>
    <cellStyle name="SAPBEXstdItem 6 2" xfId="51022" xr:uid="{00000000-0005-0000-0000-0000AAC50000}"/>
    <cellStyle name="SAPBEXstdItem 6 3" xfId="51336" xr:uid="{00000000-0005-0000-0000-0000ABC50000}"/>
    <cellStyle name="SAPBEXstdItem 6 4" xfId="49977" xr:uid="{00000000-0005-0000-0000-0000ACC50000}"/>
    <cellStyle name="SAPBEXstdItem 7" xfId="47326" xr:uid="{00000000-0005-0000-0000-0000ADC50000}"/>
    <cellStyle name="SAPBEXstdItem 7 2" xfId="50672" xr:uid="{00000000-0005-0000-0000-0000AEC50000}"/>
    <cellStyle name="SAPBEXstdItem 8" xfId="47327" xr:uid="{00000000-0005-0000-0000-0000AFC50000}"/>
    <cellStyle name="SAPBEXstdItem 8 2" xfId="50806" xr:uid="{00000000-0005-0000-0000-0000B0C50000}"/>
    <cellStyle name="SAPBEXstdItem 9" xfId="47328" xr:uid="{00000000-0005-0000-0000-0000B1C50000}"/>
    <cellStyle name="SAPBEXstdItem 9 2" xfId="50884"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3" xr:uid="{00000000-0005-0000-0000-0000C1C50000}"/>
    <cellStyle name="SAPBEXstdItemX 2 2 3" xfId="51105" xr:uid="{00000000-0005-0000-0000-0000C2C50000}"/>
    <cellStyle name="SAPBEXstdItemX 2 2 4" xfId="49914" xr:uid="{00000000-0005-0000-0000-0000C3C50000}"/>
    <cellStyle name="SAPBEXstdItemX 2 3" xfId="47342" xr:uid="{00000000-0005-0000-0000-0000C4C50000}"/>
    <cellStyle name="SAPBEXstdItemX 2 3 2" xfId="50461" xr:uid="{00000000-0005-0000-0000-0000C5C50000}"/>
    <cellStyle name="SAPBEXstdItemX 2 4" xfId="51444" xr:uid="{00000000-0005-0000-0000-0000C6C50000}"/>
    <cellStyle name="SAPBEXstdItemX 2 5" xfId="49586"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7" xr:uid="{00000000-0005-0000-0000-0000D3C50000}"/>
    <cellStyle name="SAPBEXstdItemX 3 2 2" xfId="50075" xr:uid="{00000000-0005-0000-0000-0000D4C50000}"/>
    <cellStyle name="SAPBEXstdItemX 3 2 3" xfId="51291" xr:uid="{00000000-0005-0000-0000-0000D5C50000}"/>
    <cellStyle name="SAPBEXstdItemX 3 3" xfId="50058" xr:uid="{00000000-0005-0000-0000-0000D6C50000}"/>
    <cellStyle name="SAPBEXstdItemX 3 4" xfId="51636" xr:uid="{00000000-0005-0000-0000-0000D7C50000}"/>
    <cellStyle name="SAPBEXstdItemX 3 5" xfId="49619"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2" xr:uid="{00000000-0005-0000-0000-0000DCC50000}"/>
    <cellStyle name="SAPBEXstdItemX 4" xfId="47357" xr:uid="{00000000-0005-0000-0000-0000DDC50000}"/>
    <cellStyle name="SAPBEXstdItemX 4 2" xfId="50273" xr:uid="{00000000-0005-0000-0000-0000DEC50000}"/>
    <cellStyle name="SAPBEXstdItemX 4 3" xfId="50646" xr:uid="{00000000-0005-0000-0000-0000DFC50000}"/>
    <cellStyle name="SAPBEXstdItemX 4 4" xfId="49724" xr:uid="{00000000-0005-0000-0000-0000E0C50000}"/>
    <cellStyle name="SAPBEXstdItemX 5" xfId="47358" xr:uid="{00000000-0005-0000-0000-0000E1C50000}"/>
    <cellStyle name="SAPBEXstdItemX 5 2" xfId="51021" xr:uid="{00000000-0005-0000-0000-0000E2C50000}"/>
    <cellStyle name="SAPBEXstdItemX 5 3" xfId="51582" xr:uid="{00000000-0005-0000-0000-0000E3C50000}"/>
    <cellStyle name="SAPBEXstdItemX 5 4" xfId="49976" xr:uid="{00000000-0005-0000-0000-0000E4C50000}"/>
    <cellStyle name="SAPBEXstdItemX 6" xfId="47359" xr:uid="{00000000-0005-0000-0000-0000E5C50000}"/>
    <cellStyle name="SAPBEXstdItemX 6 2" xfId="50671" xr:uid="{00000000-0005-0000-0000-0000E6C50000}"/>
    <cellStyle name="SAPBEXstdItemX 7" xfId="47360" xr:uid="{00000000-0005-0000-0000-0000E7C50000}"/>
    <cellStyle name="SAPBEXstdItemX 7 2" xfId="50807"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2" xr:uid="{00000000-0005-0000-0000-0000EEC50000}"/>
    <cellStyle name="SAPBEXtitle 2 2 3" xfId="51106" xr:uid="{00000000-0005-0000-0000-0000EFC50000}"/>
    <cellStyle name="SAPBEXtitle 2 2 4" xfId="49915" xr:uid="{00000000-0005-0000-0000-0000F0C50000}"/>
    <cellStyle name="SAPBEXtitle 2 3" xfId="50460" xr:uid="{00000000-0005-0000-0000-0000F1C50000}"/>
    <cellStyle name="SAPBEXtitle 2 4" xfId="51370" xr:uid="{00000000-0005-0000-0000-0000F2C50000}"/>
    <cellStyle name="SAPBEXtitle 2 5" xfId="49587" xr:uid="{00000000-0005-0000-0000-0000F3C50000}"/>
    <cellStyle name="SAPBEXtitle 3" xfId="49620" xr:uid="{00000000-0005-0000-0000-0000F4C50000}"/>
    <cellStyle name="SAPBEXtitle 3 2" xfId="49948" xr:uid="{00000000-0005-0000-0000-0000F5C50000}"/>
    <cellStyle name="SAPBEXtitle 3 2 2" xfId="50074" xr:uid="{00000000-0005-0000-0000-0000F6C50000}"/>
    <cellStyle name="SAPBEXtitle 3 2 3" xfId="51549" xr:uid="{00000000-0005-0000-0000-0000F7C50000}"/>
    <cellStyle name="SAPBEXtitle 3 3" xfId="50434" xr:uid="{00000000-0005-0000-0000-0000F8C50000}"/>
    <cellStyle name="SAPBEXtitle 3 4" xfId="51141" xr:uid="{00000000-0005-0000-0000-0000F9C50000}"/>
    <cellStyle name="SAPBEXtitle 4" xfId="49725" xr:uid="{00000000-0005-0000-0000-0000FAC50000}"/>
    <cellStyle name="SAPBEXtitle 4 2" xfId="50975" xr:uid="{00000000-0005-0000-0000-0000FBC50000}"/>
    <cellStyle name="SAPBEXtitle 4 3" xfId="51266" xr:uid="{00000000-0005-0000-0000-0000FCC50000}"/>
    <cellStyle name="SAPBEXtitle 5" xfId="49975" xr:uid="{00000000-0005-0000-0000-0000FDC50000}"/>
    <cellStyle name="SAPBEXtitle 5 2" xfId="51020" xr:uid="{00000000-0005-0000-0000-0000FEC50000}"/>
    <cellStyle name="SAPBEXtitle 5 3" xfId="51325" xr:uid="{00000000-0005-0000-0000-0000FFC50000}"/>
    <cellStyle name="SAPBEXtitle 6" xfId="50670" xr:uid="{00000000-0005-0000-0000-000000C60000}"/>
    <cellStyle name="SAPBEXtitle 7" xfId="50875" xr:uid="{00000000-0005-0000-0000-000001C60000}"/>
    <cellStyle name="SAPBEXtitle 8" xfId="49353"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4"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1" xr:uid="{00000000-0005-0000-0000-0000ECC60000}"/>
    <cellStyle name="SAPBEXundefined 2 2 3" xfId="47596" xr:uid="{00000000-0005-0000-0000-0000EDC60000}"/>
    <cellStyle name="SAPBEXundefined 2 2 3 2" xfId="51153" xr:uid="{00000000-0005-0000-0000-0000EEC60000}"/>
    <cellStyle name="SAPBEXundefined 2 2 4" xfId="49916" xr:uid="{00000000-0005-0000-0000-0000EFC60000}"/>
    <cellStyle name="SAPBEXundefined 2 3" xfId="47597" xr:uid="{00000000-0005-0000-0000-0000F0C60000}"/>
    <cellStyle name="SAPBEXundefined 2 3 2" xfId="47598" xr:uid="{00000000-0005-0000-0000-0000F1C60000}"/>
    <cellStyle name="SAPBEXundefined 2 3 3" xfId="50459" xr:uid="{00000000-0005-0000-0000-0000F2C60000}"/>
    <cellStyle name="SAPBEXundefined 2 4" xfId="47599" xr:uid="{00000000-0005-0000-0000-0000F3C60000}"/>
    <cellStyle name="SAPBEXundefined 2 4 2" xfId="51637" xr:uid="{00000000-0005-0000-0000-0000F4C60000}"/>
    <cellStyle name="SAPBEXundefined 2 5" xfId="49588"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4" xr:uid="{00000000-0005-0000-0000-000002C70000}"/>
    <cellStyle name="SAPBEXundefined 3 2 3" xfId="51322" xr:uid="{00000000-0005-0000-0000-000003C70000}"/>
    <cellStyle name="SAPBEXundefined 3 2 4" xfId="49949" xr:uid="{00000000-0005-0000-0000-000004C70000}"/>
    <cellStyle name="SAPBEXundefined 3 3" xfId="47612" xr:uid="{00000000-0005-0000-0000-000005C70000}"/>
    <cellStyle name="SAPBEXundefined 3 3 2" xfId="50433" xr:uid="{00000000-0005-0000-0000-000006C70000}"/>
    <cellStyle name="SAPBEXundefined 3 4" xfId="50940" xr:uid="{00000000-0005-0000-0000-000007C70000}"/>
    <cellStyle name="SAPBEXundefined 3 5" xfId="49621"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5" xr:uid="{00000000-0005-0000-0000-00000CC70000}"/>
    <cellStyle name="SAPBEXundefined 4" xfId="47616" xr:uid="{00000000-0005-0000-0000-00000DC70000}"/>
    <cellStyle name="SAPBEXundefined 4 2" xfId="47617" xr:uid="{00000000-0005-0000-0000-00000EC70000}"/>
    <cellStyle name="SAPBEXundefined 4 2 2" xfId="51005" xr:uid="{00000000-0005-0000-0000-00000FC70000}"/>
    <cellStyle name="SAPBEXundefined 4 2 3" xfId="51580" xr:uid="{00000000-0005-0000-0000-000010C70000}"/>
    <cellStyle name="SAPBEXundefined 4 2 4" xfId="49960" xr:uid="{00000000-0005-0000-0000-000011C70000}"/>
    <cellStyle name="SAPBEXundefined 4 3" xfId="50930" xr:uid="{00000000-0005-0000-0000-000012C70000}"/>
    <cellStyle name="SAPBEXundefined 4 4" xfId="50823" xr:uid="{00000000-0005-0000-0000-000013C70000}"/>
    <cellStyle name="SAPBEXundefined 4 5" xfId="49632" xr:uid="{00000000-0005-0000-0000-000014C70000}"/>
    <cellStyle name="SAPBEXundefined 5" xfId="47618" xr:uid="{00000000-0005-0000-0000-000015C70000}"/>
    <cellStyle name="SAPBEXundefined 5 2" xfId="50902" xr:uid="{00000000-0005-0000-0000-000016C70000}"/>
    <cellStyle name="SAPBEXundefined 5 3" xfId="51524" xr:uid="{00000000-0005-0000-0000-000017C70000}"/>
    <cellStyle name="SAPBEXundefined 5 4" xfId="49726" xr:uid="{00000000-0005-0000-0000-000018C70000}"/>
    <cellStyle name="SAPBEXundefined 6" xfId="47619" xr:uid="{00000000-0005-0000-0000-000019C70000}"/>
    <cellStyle name="SAPBEXundefined 6 2" xfId="51019" xr:uid="{00000000-0005-0000-0000-00001AC70000}"/>
    <cellStyle name="SAPBEXundefined 6 3" xfId="51552" xr:uid="{00000000-0005-0000-0000-00001BC70000}"/>
    <cellStyle name="SAPBEXundefined 6 4" xfId="49974" xr:uid="{00000000-0005-0000-0000-00001CC70000}"/>
    <cellStyle name="SAPBEXundefined 7" xfId="47620" xr:uid="{00000000-0005-0000-0000-00001DC70000}"/>
    <cellStyle name="SAPBEXundefined 7 2" xfId="50669" xr:uid="{00000000-0005-0000-0000-00001EC70000}"/>
    <cellStyle name="SAPBEXundefined 8" xfId="47621" xr:uid="{00000000-0005-0000-0000-00001FC70000}"/>
    <cellStyle name="SAPBEXundefined 8 2" xfId="51149" xr:uid="{00000000-0005-0000-0000-000020C70000}"/>
    <cellStyle name="SAPBEXundefined 9" xfId="47622" xr:uid="{00000000-0005-0000-0000-000021C70000}"/>
    <cellStyle name="SAPBEXundefined 9 2" xfId="51687"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6"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7"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9" xr:uid="{00000000-0005-0000-0000-0000DCC70000}"/>
    <cellStyle name="Sub-total 2 2" xfId="49917" xr:uid="{00000000-0005-0000-0000-0000DDC70000}"/>
    <cellStyle name="Sub-total 2 2 2" xfId="50100" xr:uid="{00000000-0005-0000-0000-0000DEC70000}"/>
    <cellStyle name="Sub-total 2 2 3" xfId="51107" xr:uid="{00000000-0005-0000-0000-0000DFC70000}"/>
    <cellStyle name="Sub-total 2 3" xfId="50458" xr:uid="{00000000-0005-0000-0000-0000E0C70000}"/>
    <cellStyle name="Sub-total 2 4" xfId="50812" xr:uid="{00000000-0005-0000-0000-0000E1C70000}"/>
    <cellStyle name="Sub-total 3" xfId="49622" xr:uid="{00000000-0005-0000-0000-0000E2C70000}"/>
    <cellStyle name="Sub-total 3 2" xfId="49950" xr:uid="{00000000-0005-0000-0000-0000E3C70000}"/>
    <cellStyle name="Sub-total 3 2 2" xfId="50995" xr:uid="{00000000-0005-0000-0000-0000E4C70000}"/>
    <cellStyle name="Sub-total 3 2 3" xfId="51579" xr:uid="{00000000-0005-0000-0000-0000E5C70000}"/>
    <cellStyle name="Sub-total 3 3" xfId="50432" xr:uid="{00000000-0005-0000-0000-0000E6C70000}"/>
    <cellStyle name="Sub-total 3 4" xfId="51139" xr:uid="{00000000-0005-0000-0000-0000E7C70000}"/>
    <cellStyle name="Sub-total 4" xfId="49727" xr:uid="{00000000-0005-0000-0000-0000E8C70000}"/>
    <cellStyle name="Sub-total 4 2" xfId="50968" xr:uid="{00000000-0005-0000-0000-0000E9C70000}"/>
    <cellStyle name="Sub-total 4 3" xfId="51173" xr:uid="{00000000-0005-0000-0000-0000EAC70000}"/>
    <cellStyle name="Sub-total 5" xfId="49973" xr:uid="{00000000-0005-0000-0000-0000EBC70000}"/>
    <cellStyle name="Sub-total 5 2" xfId="51018" xr:uid="{00000000-0005-0000-0000-0000ECC70000}"/>
    <cellStyle name="Sub-total 5 3" xfId="51294" xr:uid="{00000000-0005-0000-0000-0000EDC70000}"/>
    <cellStyle name="Sub-total 6" xfId="50665" xr:uid="{00000000-0005-0000-0000-0000EEC70000}"/>
    <cellStyle name="Sub-total 7" xfId="50960" xr:uid="{00000000-0005-0000-0000-0000EFC70000}"/>
    <cellStyle name="Sub-total 8" xfId="49358"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9"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60"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1"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1" xr:uid="{00000000-0005-0000-0000-000050C80000}"/>
    <cellStyle name="Total 1 2 2 2" xfId="47897" xr:uid="{00000000-0005-0000-0000-000051C80000}"/>
    <cellStyle name="Total 1 2 2 2 2" xfId="47898" xr:uid="{00000000-0005-0000-0000-000052C80000}"/>
    <cellStyle name="Total 1 2 2 2 2 2" xfId="50090" xr:uid="{00000000-0005-0000-0000-000053C80000}"/>
    <cellStyle name="Total 1 2 2 2 3" xfId="47899" xr:uid="{00000000-0005-0000-0000-000054C80000}"/>
    <cellStyle name="Total 1 2 2 2 3 2" xfId="51159" xr:uid="{00000000-0005-0000-0000-000055C80000}"/>
    <cellStyle name="Total 1 2 2 2 4" xfId="49929"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6"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2"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1" xr:uid="{00000000-0005-0000-0000-000070C80000}"/>
    <cellStyle name="Total 1 2 3 2 3" xfId="51117" xr:uid="{00000000-0005-0000-0000-000071C80000}"/>
    <cellStyle name="Total 1 2 3 2 4" xfId="49956" xr:uid="{00000000-0005-0000-0000-000072C80000}"/>
    <cellStyle name="Total 1 2 3 3" xfId="47923" xr:uid="{00000000-0005-0000-0000-000073C80000}"/>
    <cellStyle name="Total 1 2 3 3 2" xfId="50060" xr:uid="{00000000-0005-0000-0000-000074C80000}"/>
    <cellStyle name="Total 1 2 3 4" xfId="51257" xr:uid="{00000000-0005-0000-0000-000075C80000}"/>
    <cellStyle name="Total 1 2 3 5" xfId="49628" xr:uid="{00000000-0005-0000-0000-000076C80000}"/>
    <cellStyle name="Total 1 2 30" xfId="47924" xr:uid="{00000000-0005-0000-0000-000077C80000}"/>
    <cellStyle name="Total 1 2 31" xfId="49399" xr:uid="{00000000-0005-0000-0000-000078C80000}"/>
    <cellStyle name="Total 1 2 4" xfId="47925" xr:uid="{00000000-0005-0000-0000-000079C80000}"/>
    <cellStyle name="Total 1 2 4 2" xfId="47926" xr:uid="{00000000-0005-0000-0000-00007AC80000}"/>
    <cellStyle name="Total 1 2 4 2 2" xfId="50882" xr:uid="{00000000-0005-0000-0000-00007BC80000}"/>
    <cellStyle name="Total 1 2 4 3" xfId="47927" xr:uid="{00000000-0005-0000-0000-00007CC80000}"/>
    <cellStyle name="Total 1 2 4 3 2" xfId="51626" xr:uid="{00000000-0005-0000-0000-00007DC80000}"/>
    <cellStyle name="Total 1 2 4 4" xfId="49730"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4" xr:uid="{00000000-0005-0000-0000-000082C80000}"/>
    <cellStyle name="Total 1 2 6" xfId="47931" xr:uid="{00000000-0005-0000-0000-000083C80000}"/>
    <cellStyle name="Total 1 2 6 2" xfId="51222"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2"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9" xr:uid="{00000000-0005-0000-0000-00005BC90000}"/>
    <cellStyle name="Total 2 2 2 3" xfId="51154" xr:uid="{00000000-0005-0000-0000-00005CC90000}"/>
    <cellStyle name="Total 2 2 2 4" xfId="49918" xr:uid="{00000000-0005-0000-0000-00005DC90000}"/>
    <cellStyle name="Total 2 2 3" xfId="48145" xr:uid="{00000000-0005-0000-0000-00005EC90000}"/>
    <cellStyle name="Total 2 2 3 2" xfId="50457" xr:uid="{00000000-0005-0000-0000-00005FC90000}"/>
    <cellStyle name="Total 2 2 4" xfId="51253" xr:uid="{00000000-0005-0000-0000-000060C90000}"/>
    <cellStyle name="Total 2 2 5" xfId="49590"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6" xr:uid="{00000000-0005-0000-0000-00006EC90000}"/>
    <cellStyle name="Total 2 3 2 3" xfId="51409" xr:uid="{00000000-0005-0000-0000-00006FC90000}"/>
    <cellStyle name="Total 2 3 2 4" xfId="49951" xr:uid="{00000000-0005-0000-0000-000070C90000}"/>
    <cellStyle name="Total 2 3 3" xfId="48158" xr:uid="{00000000-0005-0000-0000-000071C90000}"/>
    <cellStyle name="Total 2 3 3 2" xfId="50431" xr:uid="{00000000-0005-0000-0000-000072C90000}"/>
    <cellStyle name="Total 2 3 4" xfId="50792" xr:uid="{00000000-0005-0000-0000-000073C90000}"/>
    <cellStyle name="Total 2 3 5" xfId="49623"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7" xr:uid="{00000000-0005-0000-0000-000080C90000}"/>
    <cellStyle name="Total 2 4 3" xfId="51432" xr:uid="{00000000-0005-0000-0000-000081C90000}"/>
    <cellStyle name="Total 2 4 4" xfId="49728"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3" xr:uid="{00000000-0005-0000-0000-00008CC90000}"/>
    <cellStyle name="Total 2 5" xfId="48179" xr:uid="{00000000-0005-0000-0000-00008DC90000}"/>
    <cellStyle name="Total 2 5 2" xfId="51017" xr:uid="{00000000-0005-0000-0000-00008EC90000}"/>
    <cellStyle name="Total 2 5 3" xfId="51119" xr:uid="{00000000-0005-0000-0000-00008FC90000}"/>
    <cellStyle name="Total 2 5 4" xfId="49972" xr:uid="{00000000-0005-0000-0000-000090C90000}"/>
    <cellStyle name="Total 2 6" xfId="48180" xr:uid="{00000000-0005-0000-0000-000091C90000}"/>
    <cellStyle name="Total 2 6 2" xfId="50662" xr:uid="{00000000-0005-0000-0000-000092C90000}"/>
    <cellStyle name="Total 2 7" xfId="48181" xr:uid="{00000000-0005-0000-0000-000093C90000}"/>
    <cellStyle name="Total 2 7 2" xfId="50808"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9" xr:uid="{00000000-0005-0000-0000-000099C90000}"/>
    <cellStyle name="Total 3 2 2 2" xfId="50098" xr:uid="{00000000-0005-0000-0000-00009AC90000}"/>
    <cellStyle name="Total 3 2 2 3" xfId="51108" xr:uid="{00000000-0005-0000-0000-00009BC90000}"/>
    <cellStyle name="Total 3 2 3" xfId="50456" xr:uid="{00000000-0005-0000-0000-00009CC90000}"/>
    <cellStyle name="Total 3 2 4" xfId="51510" xr:uid="{00000000-0005-0000-0000-00009DC90000}"/>
    <cellStyle name="Total 3 2 5" xfId="49591" xr:uid="{00000000-0005-0000-0000-00009EC90000}"/>
    <cellStyle name="Total 3 3" xfId="48186" xr:uid="{00000000-0005-0000-0000-00009FC90000}"/>
    <cellStyle name="Total 3 3 2" xfId="49952" xr:uid="{00000000-0005-0000-0000-0000A0C90000}"/>
    <cellStyle name="Total 3 3 2 2" xfId="50997" xr:uid="{00000000-0005-0000-0000-0000A1C90000}"/>
    <cellStyle name="Total 3 3 2 3" xfId="51597" xr:uid="{00000000-0005-0000-0000-0000A2C90000}"/>
    <cellStyle name="Total 3 3 3" xfId="50430" xr:uid="{00000000-0005-0000-0000-0000A3C90000}"/>
    <cellStyle name="Total 3 3 4" xfId="50856" xr:uid="{00000000-0005-0000-0000-0000A4C90000}"/>
    <cellStyle name="Total 3 3 5" xfId="49624" xr:uid="{00000000-0005-0000-0000-0000A5C90000}"/>
    <cellStyle name="Total 3 4" xfId="49729" xr:uid="{00000000-0005-0000-0000-0000A6C90000}"/>
    <cellStyle name="Total 3 4 2" xfId="50955" xr:uid="{00000000-0005-0000-0000-0000A7C90000}"/>
    <cellStyle name="Total 3 4 3" xfId="51385" xr:uid="{00000000-0005-0000-0000-0000A8C90000}"/>
    <cellStyle name="Total 3 5" xfId="49971" xr:uid="{00000000-0005-0000-0000-0000A9C90000}"/>
    <cellStyle name="Total 3 5 2" xfId="51016" xr:uid="{00000000-0005-0000-0000-0000AAC90000}"/>
    <cellStyle name="Total 3 5 3" xfId="51612" xr:uid="{00000000-0005-0000-0000-0000ABC90000}"/>
    <cellStyle name="Total 3 6" xfId="50661" xr:uid="{00000000-0005-0000-0000-0000ACC90000}"/>
    <cellStyle name="Total 3 7" xfId="51150" xr:uid="{00000000-0005-0000-0000-0000ADC90000}"/>
    <cellStyle name="Total 3 8" xfId="49364"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5"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6" xr:uid="{00000000-0005-0000-0000-0000DEC90000}"/>
    <cellStyle name="Yellow" xfId="48233" xr:uid="{00000000-0005-0000-0000-0000DFC90000}"/>
    <cellStyle name="Yellow 2" xfId="49368" xr:uid="{00000000-0005-0000-0000-0000E0C90000}"/>
    <cellStyle name="Yellow 2 2" xfId="49369" xr:uid="{00000000-0005-0000-0000-0000E1C90000}"/>
    <cellStyle name="Yellow 2 3" xfId="49370" xr:uid="{00000000-0005-0000-0000-0000E2C90000}"/>
    <cellStyle name="Yellow 2 4" xfId="49371" xr:uid="{00000000-0005-0000-0000-0000E3C90000}"/>
    <cellStyle name="Yellow 2 5" xfId="49372" xr:uid="{00000000-0005-0000-0000-0000E4C90000}"/>
    <cellStyle name="Yellow 2 6" xfId="49373" xr:uid="{00000000-0005-0000-0000-0000E5C90000}"/>
    <cellStyle name="Yellow 2 7" xfId="49374" xr:uid="{00000000-0005-0000-0000-0000E6C90000}"/>
    <cellStyle name="Yellow 2 8" xfId="49375" xr:uid="{00000000-0005-0000-0000-0000E7C90000}"/>
    <cellStyle name="Yellow 3" xfId="49367" xr:uid="{00000000-0005-0000-0000-0000E8C90000}"/>
  </cellStyles>
  <dxfs count="95">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patternType="lightDown"/>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FFFFCC"/>
      <color rgb="FFCCFFCC"/>
      <color rgb="FFFFFF99"/>
      <color rgb="FFFFFFAB"/>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2189765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1047692</xdr:colOff>
      <xdr:row>0</xdr:row>
      <xdr:rowOff>555619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GRP-INT-UK-ETFinanceBusinessPartner/Shared%20Documents/Revenue%20&amp;%20Regulation/RIIO-2%20Regulatory%20Reporting/RFPR/2021-22/01%20RIGS/June%2022/Tax%20Reconciliation/Copy%20of%20RFPR%20draft%20template.v3.xlsx?1E556471" TargetMode="External"/><Relationship Id="rId1" Type="http://schemas.openxmlformats.org/officeDocument/2006/relationships/externalLinkPath" Target="file:///\\1E556471\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B18" sqref="B18"/>
    </sheetView>
  </sheetViews>
  <sheetFormatPr defaultRowHeight="13.5"/>
  <cols>
    <col min="1" max="1" width="8.3828125" customWidth="1"/>
    <col min="2" max="2" width="41.4609375" customWidth="1"/>
    <col min="3" max="6" width="14.15234375" customWidth="1"/>
    <col min="7" max="7" width="14.15234375" style="89" customWidth="1"/>
    <col min="8" max="11" width="14.15234375" customWidth="1"/>
  </cols>
  <sheetData>
    <row r="1" spans="1:11" s="1336" customFormat="1" ht="56.9" customHeight="1"/>
    <row r="2" spans="1:11" ht="20">
      <c r="A2" s="639" t="s">
        <v>0</v>
      </c>
      <c r="B2" s="640"/>
      <c r="C2" s="640"/>
      <c r="D2" s="641"/>
      <c r="E2" s="642"/>
      <c r="F2" s="640"/>
      <c r="G2" s="643"/>
      <c r="H2" s="640"/>
      <c r="I2" s="640"/>
      <c r="J2" s="640"/>
      <c r="K2" s="640"/>
    </row>
    <row r="3" spans="1:11" ht="20">
      <c r="A3" s="639" t="str">
        <f>Licensee</f>
        <v>NGET (TO)</v>
      </c>
      <c r="B3" s="640"/>
      <c r="C3" s="640"/>
      <c r="D3" s="642"/>
      <c r="E3" s="642"/>
      <c r="F3" s="640"/>
      <c r="G3" s="643"/>
      <c r="H3" s="640"/>
      <c r="I3" s="640"/>
      <c r="J3" s="640"/>
      <c r="K3" s="640"/>
    </row>
    <row r="4" spans="1:11" ht="20">
      <c r="A4" s="639" t="s">
        <v>1</v>
      </c>
      <c r="B4" s="640"/>
      <c r="C4" s="640"/>
      <c r="D4" s="642"/>
      <c r="E4" s="642"/>
      <c r="F4" s="640"/>
      <c r="G4" s="643"/>
      <c r="H4" s="640"/>
      <c r="I4" s="640"/>
      <c r="J4" s="640"/>
      <c r="K4" s="640"/>
    </row>
    <row r="5" spans="1:11" ht="20">
      <c r="A5" s="839"/>
      <c r="B5" s="840"/>
      <c r="C5" s="840"/>
      <c r="D5" s="841"/>
      <c r="E5" s="841"/>
      <c r="F5" s="840"/>
      <c r="G5" s="842"/>
      <c r="H5" s="840"/>
      <c r="I5" s="840"/>
      <c r="J5" s="840"/>
      <c r="K5" s="840"/>
    </row>
    <row r="6" spans="1:11" ht="14">
      <c r="A6" s="17"/>
      <c r="B6" s="930" t="s">
        <v>2</v>
      </c>
      <c r="C6" s="931">
        <v>2022</v>
      </c>
      <c r="D6" s="17"/>
      <c r="E6" s="17"/>
      <c r="H6" s="4"/>
      <c r="I6" s="4"/>
      <c r="J6" s="4"/>
    </row>
    <row r="7" spans="1:11" ht="13.5" customHeight="1">
      <c r="A7" s="17"/>
      <c r="B7" s="930" t="s">
        <v>3</v>
      </c>
      <c r="C7" s="932" t="s">
        <v>4</v>
      </c>
      <c r="D7" s="136"/>
      <c r="E7" s="10"/>
      <c r="F7" s="933"/>
      <c r="G7" s="419" t="s">
        <v>5</v>
      </c>
      <c r="H7" s="4"/>
      <c r="I7" s="4"/>
      <c r="J7" s="4"/>
    </row>
    <row r="8" spans="1:11" ht="13.5" customHeight="1">
      <c r="A8" s="17"/>
      <c r="B8" s="930" t="s">
        <v>6</v>
      </c>
      <c r="C8" s="934" t="str">
        <f>INDEX(Data!$A$55:$A$83,MATCH($C$7,Data!$B$55:$B$83,0),0)&amp;"2"</f>
        <v>ET2</v>
      </c>
      <c r="D8" s="136"/>
      <c r="E8" s="10"/>
      <c r="F8" s="935"/>
      <c r="G8" s="419" t="s">
        <v>7</v>
      </c>
      <c r="H8" s="4"/>
      <c r="I8" s="4"/>
      <c r="J8" s="4"/>
    </row>
    <row r="9" spans="1:11" ht="27">
      <c r="A9" s="17"/>
      <c r="B9" s="936" t="s">
        <v>8</v>
      </c>
      <c r="C9" s="937">
        <v>2022</v>
      </c>
      <c r="D9" s="136"/>
      <c r="E9" s="10"/>
      <c r="F9" s="938"/>
      <c r="G9" s="420" t="s">
        <v>9</v>
      </c>
      <c r="H9" s="4"/>
      <c r="I9" s="4"/>
      <c r="J9" s="4"/>
    </row>
    <row r="10" spans="1:11" ht="14">
      <c r="A10" s="17"/>
      <c r="B10" s="930" t="s">
        <v>10</v>
      </c>
      <c r="C10" s="937"/>
      <c r="D10" s="10"/>
      <c r="E10" s="9"/>
      <c r="F10" s="939"/>
      <c r="G10" s="419" t="s">
        <v>11</v>
      </c>
      <c r="H10" s="4"/>
      <c r="I10" s="4"/>
      <c r="J10" s="4"/>
    </row>
    <row r="11" spans="1:11" ht="14">
      <c r="A11" s="17"/>
      <c r="B11" s="930" t="s">
        <v>12</v>
      </c>
      <c r="C11" s="940"/>
      <c r="D11" s="9"/>
      <c r="E11" s="9"/>
      <c r="F11" s="941"/>
      <c r="G11" s="419" t="s">
        <v>13</v>
      </c>
      <c r="H11" s="4"/>
      <c r="I11" s="4"/>
      <c r="J11" s="4"/>
    </row>
    <row r="12" spans="1:11" ht="14">
      <c r="A12" s="17"/>
      <c r="D12" s="9"/>
      <c r="E12" s="9"/>
      <c r="F12" s="942"/>
      <c r="G12" s="419" t="s">
        <v>14</v>
      </c>
      <c r="H12" s="4"/>
      <c r="I12" s="4"/>
      <c r="J12" s="4"/>
    </row>
    <row r="13" spans="1:11" ht="14">
      <c r="A13" s="17"/>
      <c r="D13" s="10"/>
      <c r="E13" s="10"/>
      <c r="F13" s="943"/>
      <c r="G13" s="419" t="s">
        <v>15</v>
      </c>
      <c r="H13" s="4"/>
      <c r="I13" s="4"/>
      <c r="J13" s="4"/>
    </row>
    <row r="14" spans="1:11">
      <c r="A14" s="17"/>
      <c r="D14" s="9"/>
      <c r="E14" s="9"/>
      <c r="F14" s="9"/>
      <c r="G14" s="421"/>
    </row>
    <row r="15" spans="1:11">
      <c r="A15" s="17"/>
      <c r="D15" s="9"/>
      <c r="E15" s="9"/>
    </row>
    <row r="16" spans="1:11">
      <c r="A16" s="17"/>
      <c r="D16" s="9"/>
      <c r="E16" s="9"/>
    </row>
    <row r="17" spans="1:7">
      <c r="A17" s="17"/>
      <c r="B17" s="9"/>
      <c r="C17" s="9"/>
      <c r="D17" s="9"/>
      <c r="E17" s="9"/>
      <c r="F17" s="9"/>
      <c r="G17" s="421"/>
    </row>
    <row r="87" spans="1:1">
      <c r="A87" s="34"/>
    </row>
  </sheetData>
  <sheetProtection algorithmName="SHA-512" hashValue="zq6kY3tL9n7F4708CuUGywgOu9zzB/f9VARhMPLye/zC0mEbv1sSTqvRK7gOMcX3qUKkrrOVCFmRwVl7FOiUlQ==" saltValue="UWWLEnvHJ8Kq2NkH8CAOOQ==" spinCount="100000" sheet="1" formatCells="0" formatColumns="0" formatRows="0" insertColumns="0" insertRows="0" insertHyperlinks="0" deleteColumns="0" deleteRows="0" sort="0" autoFilter="0" pivotTables="0"/>
  <mergeCells count="1">
    <mergeCell ref="A1:XFD1"/>
  </mergeCells>
  <pageMargins left="0.70866141732283472" right="0.70866141732283472" top="0.74803149606299213" bottom="0.74803149606299213" header="0.31496062992125984" footer="0.31496062992125984"/>
  <pageSetup scale="45" orientation="portrait" r:id="rId1"/>
  <headerFooter>
    <oddFooter>&amp;C_x000D_&amp;1#&amp;"Calibri"&amp;10&amp;K000000 OFFICIAL-InternalOnly</oddFooter>
  </headerFooter>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topLeftCell="C1" zoomScaleNormal="100" workbookViewId="0">
      <pane ySplit="4" topLeftCell="A8" activePane="bottomLeft" state="frozen"/>
      <selection activeCell="B26" sqref="B26"/>
      <selection pane="bottomLeft" activeCell="D23" sqref="D23"/>
    </sheetView>
  </sheetViews>
  <sheetFormatPr defaultRowHeight="13.5"/>
  <cols>
    <col min="1" max="1" width="8.3828125" customWidth="1"/>
    <col min="2" max="2" width="45.4609375" customWidth="1"/>
    <col min="3" max="3" width="17.765625" customWidth="1"/>
    <col min="4" max="4" width="13" customWidth="1"/>
    <col min="5" max="5" width="11.765625" customWidth="1"/>
    <col min="6" max="6" width="11.23046875" customWidth="1"/>
    <col min="7" max="7" width="13.765625" customWidth="1"/>
    <col min="8" max="8" width="16.84375" bestFit="1" customWidth="1"/>
    <col min="9" max="9" width="11.15234375" bestFit="1" customWidth="1"/>
    <col min="10" max="10" width="12.3828125" customWidth="1"/>
    <col min="11" max="11" width="11.23046875" customWidth="1"/>
    <col min="12" max="12" width="12" customWidth="1"/>
    <col min="13" max="13" width="11.84375" customWidth="1"/>
    <col min="14" max="14" width="12.765625" customWidth="1"/>
  </cols>
  <sheetData>
    <row r="1" spans="1:15" ht="20">
      <c r="A1" s="1170" t="s">
        <v>16</v>
      </c>
      <c r="B1" s="744"/>
      <c r="C1" s="744"/>
      <c r="D1" s="744"/>
      <c r="E1" s="744"/>
      <c r="F1" s="744"/>
      <c r="G1" s="744"/>
      <c r="H1" s="744"/>
      <c r="I1" s="744"/>
      <c r="J1" s="744"/>
      <c r="K1" s="744"/>
      <c r="L1" s="744"/>
      <c r="M1" s="744"/>
      <c r="N1" s="1171"/>
    </row>
    <row r="2" spans="1:15" ht="20">
      <c r="A2" s="644" t="str">
        <f>Licensee</f>
        <v>NGET (TO)</v>
      </c>
      <c r="B2" s="642"/>
      <c r="C2" s="642"/>
      <c r="D2" s="642"/>
      <c r="E2" s="642"/>
      <c r="F2" s="642"/>
      <c r="G2" s="642"/>
      <c r="H2" s="642"/>
      <c r="I2" s="642"/>
      <c r="J2" s="642"/>
      <c r="K2" s="642"/>
      <c r="L2" s="642"/>
      <c r="M2" s="642"/>
      <c r="N2" s="645"/>
    </row>
    <row r="3" spans="1:15" ht="20">
      <c r="A3" s="639">
        <f>Reporting_Year</f>
        <v>2022</v>
      </c>
      <c r="B3" s="944"/>
      <c r="C3" s="944"/>
      <c r="D3" s="944"/>
      <c r="E3" s="944"/>
      <c r="F3" s="944"/>
      <c r="G3" s="944"/>
      <c r="H3" s="944"/>
      <c r="I3" s="944"/>
      <c r="J3" s="944"/>
      <c r="K3" s="944"/>
      <c r="L3" s="944"/>
      <c r="M3" s="944"/>
      <c r="N3" s="646"/>
    </row>
    <row r="6" spans="1:15" ht="27">
      <c r="B6" s="930" t="s">
        <v>17</v>
      </c>
      <c r="C6" s="947">
        <f>INDEX(O55:U83,MATCH(Licensee,Data!B55:B83,0),MATCH(Reporting_Year,Data!O54:U54,0))</f>
        <v>4.2439449777777784E-2</v>
      </c>
      <c r="F6" s="916" t="s">
        <v>18</v>
      </c>
      <c r="G6" s="89"/>
      <c r="H6" s="896" t="s">
        <v>19</v>
      </c>
      <c r="I6" s="946" t="s">
        <v>20</v>
      </c>
    </row>
    <row r="7" spans="1:15">
      <c r="B7" s="930" t="s">
        <v>21</v>
      </c>
      <c r="C7" s="947">
        <f>SUMIF(Data!$B$54:$B$83,'RFPR cover'!C7,Data!$C$54:$C$83)</f>
        <v>0.67</v>
      </c>
      <c r="F7" s="948">
        <v>0.1</v>
      </c>
      <c r="G7" s="421"/>
      <c r="H7" s="896" t="s">
        <v>22</v>
      </c>
      <c r="I7" s="897" t="s">
        <v>23</v>
      </c>
    </row>
    <row r="8" spans="1:15">
      <c r="B8" s="930" t="s">
        <v>24</v>
      </c>
      <c r="C8" s="945">
        <f>SUMIF(Data!$B$54:$B$83,'RFPR cover'!C7,Data!$D$54:$D$83)</f>
        <v>0.55000000000000004</v>
      </c>
      <c r="H8" s="896" t="s">
        <v>25</v>
      </c>
      <c r="I8" s="897" t="s">
        <v>23</v>
      </c>
    </row>
    <row r="9" spans="1:15">
      <c r="B9" s="745" t="s">
        <v>26</v>
      </c>
      <c r="C9" s="934" t="str">
        <f>INDEX(Data!$F$55:$F$83,MATCH('RFPR cover'!$C$7,Data!$B$55:$B$83,0),0)</f>
        <v>£m 18/19</v>
      </c>
      <c r="H9" s="896" t="s">
        <v>27</v>
      </c>
      <c r="I9" s="897" t="s">
        <v>23</v>
      </c>
    </row>
    <row r="10" spans="1:15">
      <c r="H10" s="896" t="s">
        <v>28</v>
      </c>
      <c r="I10" s="897" t="s">
        <v>23</v>
      </c>
    </row>
    <row r="12" spans="1:15">
      <c r="B12" s="6" t="s">
        <v>29</v>
      </c>
    </row>
    <row r="13" spans="1:15">
      <c r="A13" s="17"/>
      <c r="B13" s="949" t="s">
        <v>30</v>
      </c>
      <c r="C13" s="950" t="str">
        <f t="shared" ref="C13:N13" si="0">IF(VALUE(C15)&lt;=Reporting_Year,"Actual","Forecast")</f>
        <v>Actual</v>
      </c>
      <c r="D13" s="950" t="str">
        <f t="shared" si="0"/>
        <v>Actual</v>
      </c>
      <c r="E13" s="950" t="str">
        <f t="shared" si="0"/>
        <v>Actual</v>
      </c>
      <c r="F13" s="950" t="str">
        <f t="shared" si="0"/>
        <v>Actual</v>
      </c>
      <c r="G13" s="950" t="str">
        <f t="shared" si="0"/>
        <v>Forecast</v>
      </c>
      <c r="H13" s="950" t="str">
        <f t="shared" si="0"/>
        <v>Forecast</v>
      </c>
      <c r="I13" s="950" t="str">
        <f t="shared" si="0"/>
        <v>Forecast</v>
      </c>
      <c r="J13" s="950" t="str">
        <f t="shared" si="0"/>
        <v>Forecast</v>
      </c>
      <c r="K13" s="950" t="str">
        <f t="shared" si="0"/>
        <v>Forecast</v>
      </c>
      <c r="L13" s="950" t="str">
        <f t="shared" si="0"/>
        <v>Forecast</v>
      </c>
      <c r="M13" s="950" t="str">
        <f t="shared" si="0"/>
        <v>Forecast</v>
      </c>
      <c r="N13" s="950" t="str">
        <f t="shared" si="0"/>
        <v>Forecast</v>
      </c>
    </row>
    <row r="14" spans="1:15">
      <c r="A14" s="17"/>
      <c r="B14" s="949" t="s">
        <v>31</v>
      </c>
      <c r="C14" s="951">
        <v>43555</v>
      </c>
      <c r="D14" s="952">
        <v>43921</v>
      </c>
      <c r="E14" s="952">
        <v>44286</v>
      </c>
      <c r="F14" s="952">
        <v>44651</v>
      </c>
      <c r="G14" s="952">
        <v>45016</v>
      </c>
      <c r="H14" s="951">
        <v>45382</v>
      </c>
      <c r="I14" s="951">
        <v>45747</v>
      </c>
      <c r="J14" s="951">
        <v>46112</v>
      </c>
      <c r="K14" s="951">
        <v>46477</v>
      </c>
      <c r="L14" s="951">
        <v>46843</v>
      </c>
      <c r="M14" s="951">
        <v>47208</v>
      </c>
      <c r="N14" s="951">
        <v>47573</v>
      </c>
    </row>
    <row r="15" spans="1:15">
      <c r="A15" s="17"/>
      <c r="B15" s="949" t="s">
        <v>32</v>
      </c>
      <c r="C15" s="953">
        <v>2019</v>
      </c>
      <c r="D15" s="954">
        <v>2020</v>
      </c>
      <c r="E15" s="953">
        <v>2021</v>
      </c>
      <c r="F15" s="954">
        <v>2022</v>
      </c>
      <c r="G15" s="953">
        <v>2023</v>
      </c>
      <c r="H15" s="954">
        <v>2024</v>
      </c>
      <c r="I15" s="953">
        <v>2025</v>
      </c>
      <c r="J15" s="954">
        <v>2026</v>
      </c>
      <c r="K15" s="953">
        <v>2027</v>
      </c>
      <c r="L15" s="954">
        <v>2028</v>
      </c>
      <c r="M15" s="953">
        <v>2029</v>
      </c>
      <c r="N15" s="954">
        <v>2030</v>
      </c>
    </row>
    <row r="16" spans="1:15">
      <c r="A16" s="17"/>
      <c r="B16" s="955" t="s">
        <v>33</v>
      </c>
      <c r="C16" s="1018">
        <v>283.30833333333334</v>
      </c>
      <c r="D16" s="1019">
        <v>290.64166666666665</v>
      </c>
      <c r="E16" s="1019">
        <v>294.16666666666669</v>
      </c>
      <c r="F16" s="1209">
        <v>307.32821397646848</v>
      </c>
      <c r="G16" s="1209">
        <v>330.96395938982295</v>
      </c>
      <c r="H16" s="1209">
        <v>341.96868856063776</v>
      </c>
      <c r="I16" s="1209">
        <v>347.76302971972729</v>
      </c>
      <c r="J16" s="1209">
        <v>354.40696896406115</v>
      </c>
      <c r="K16" s="1210">
        <f>J16*(1+K$20)</f>
        <v>361.49510834334239</v>
      </c>
      <c r="L16" s="1210">
        <f>K16*(1+L$20)</f>
        <v>368.72501051020924</v>
      </c>
      <c r="M16" s="1210">
        <f>L16*(1+M$20)</f>
        <v>376.09951072041343</v>
      </c>
      <c r="N16" s="1210">
        <f>M16*(1+N$20)</f>
        <v>383.62150093482171</v>
      </c>
      <c r="O16" t="s">
        <v>34</v>
      </c>
    </row>
    <row r="17" spans="1:23">
      <c r="A17" s="17"/>
      <c r="B17" s="949" t="s">
        <v>35</v>
      </c>
      <c r="C17" s="1018">
        <v>286.64999999999998</v>
      </c>
      <c r="D17" s="1019">
        <v>292.60000000000002</v>
      </c>
      <c r="E17" s="1019">
        <v>298.42363263445759</v>
      </c>
      <c r="F17" s="1209">
        <v>319.91658048382931</v>
      </c>
      <c r="G17" s="1209">
        <v>337.82117245956056</v>
      </c>
      <c r="H17" s="1209">
        <v>344.75394696522062</v>
      </c>
      <c r="I17" s="1209">
        <v>350.98716524424435</v>
      </c>
      <c r="J17" s="1209">
        <v>357.62377789692238</v>
      </c>
      <c r="K17" s="1210">
        <f t="shared" ref="K17" si="1">J17*(1+K$20)</f>
        <v>364.77625345486081</v>
      </c>
      <c r="L17" s="1210">
        <f t="shared" ref="L17" si="2">K17*(1+L$20)</f>
        <v>372.07177852395802</v>
      </c>
      <c r="M17" s="1210">
        <f t="shared" ref="M17" si="3">L17*(1+M$20)</f>
        <v>379.51321409443716</v>
      </c>
      <c r="N17" s="1210">
        <f>M17*(1+N$20)</f>
        <v>387.10347837632588</v>
      </c>
      <c r="O17" t="s">
        <v>34</v>
      </c>
    </row>
    <row r="18" spans="1:23">
      <c r="A18" s="17"/>
      <c r="B18" s="949" t="s">
        <v>36</v>
      </c>
      <c r="C18" s="836">
        <v>0.19</v>
      </c>
      <c r="D18" s="1020">
        <v>0.19</v>
      </c>
      <c r="E18" s="1020">
        <v>0.19</v>
      </c>
      <c r="F18" s="1020">
        <v>0.19</v>
      </c>
      <c r="G18" s="836">
        <v>0.19</v>
      </c>
      <c r="H18" s="836">
        <v>0.25</v>
      </c>
      <c r="I18" s="836">
        <v>0.25</v>
      </c>
      <c r="J18" s="836">
        <v>0.25</v>
      </c>
      <c r="K18" s="835">
        <v>0.25</v>
      </c>
      <c r="L18" s="835">
        <v>0.25</v>
      </c>
      <c r="M18" s="835">
        <v>0.25</v>
      </c>
      <c r="N18" s="835">
        <v>0.25</v>
      </c>
    </row>
    <row r="19" spans="1:23">
      <c r="A19" s="17"/>
      <c r="B19" s="680" t="s">
        <v>37</v>
      </c>
      <c r="C19" s="1021">
        <v>106.43333333333334</v>
      </c>
      <c r="D19" s="1021">
        <v>108.24166666666663</v>
      </c>
      <c r="E19" s="1021">
        <v>109.10833333333335</v>
      </c>
      <c r="F19" s="1211">
        <v>113.11666666666667</v>
      </c>
      <c r="G19" s="1211">
        <v>121.81615019519597</v>
      </c>
      <c r="H19" s="1211">
        <v>125.86660252843778</v>
      </c>
      <c r="I19" s="1211">
        <v>127.99929496485652</v>
      </c>
      <c r="J19" s="1211">
        <v>130.44469446505488</v>
      </c>
      <c r="K19" s="1210">
        <f>J19*(1+K$20)</f>
        <v>133.05358835435598</v>
      </c>
      <c r="L19" s="1210">
        <f t="shared" ref="L19:M19" si="4">K19*(1+L$20)</f>
        <v>135.7146601214431</v>
      </c>
      <c r="M19" s="1210">
        <f t="shared" si="4"/>
        <v>138.42895332387198</v>
      </c>
      <c r="N19" s="1210">
        <f>M19*(1+N$20)</f>
        <v>141.19753239034941</v>
      </c>
      <c r="O19" t="s">
        <v>34</v>
      </c>
      <c r="U19" s="672"/>
      <c r="V19" s="672"/>
    </row>
    <row r="20" spans="1:23" ht="16">
      <c r="A20" s="17"/>
      <c r="B20" s="949" t="s">
        <v>38</v>
      </c>
      <c r="C20" s="680"/>
      <c r="D20" s="680"/>
      <c r="E20" s="680"/>
      <c r="F20" s="680"/>
      <c r="G20" s="680"/>
      <c r="H20" s="681"/>
      <c r="I20" s="680"/>
      <c r="J20" s="680"/>
      <c r="K20" s="836">
        <v>0.02</v>
      </c>
      <c r="L20" s="836">
        <v>0.02</v>
      </c>
      <c r="M20" s="836">
        <v>0.02</v>
      </c>
      <c r="N20" s="836">
        <v>0.02</v>
      </c>
      <c r="O20" s="716" t="s">
        <v>39</v>
      </c>
      <c r="U20" s="672"/>
      <c r="V20" s="672"/>
    </row>
    <row r="21" spans="1:23" ht="16">
      <c r="A21" s="17"/>
      <c r="B21" s="677"/>
      <c r="C21" s="673"/>
      <c r="D21" s="673"/>
      <c r="E21" s="673"/>
      <c r="F21" s="673"/>
      <c r="G21" s="673"/>
      <c r="U21" s="672"/>
      <c r="V21" s="672"/>
    </row>
    <row r="22" spans="1:23" ht="16">
      <c r="A22" s="17"/>
      <c r="B22" s="687"/>
      <c r="C22" s="688"/>
      <c r="D22" s="1066"/>
      <c r="E22" s="688"/>
      <c r="F22" s="688"/>
      <c r="G22" s="688"/>
      <c r="U22" s="672"/>
      <c r="V22" s="672"/>
    </row>
    <row r="23" spans="1:23">
      <c r="B23" s="667"/>
      <c r="C23" s="912"/>
      <c r="D23" s="668"/>
      <c r="E23" s="669"/>
      <c r="F23" s="1256"/>
      <c r="G23" s="670"/>
    </row>
    <row r="24" spans="1:23">
      <c r="D24" s="950" t="str">
        <f>IF(D25&lt;='RFPR cover'!$C$9,"Actuals","Forecast")</f>
        <v>Actuals</v>
      </c>
      <c r="E24" s="950" t="str">
        <f>IF(E25&lt;='RFPR cover'!$C$9,"Actuals","Forecast")</f>
        <v>Actuals</v>
      </c>
      <c r="F24" s="950" t="str">
        <f>IF(F25&lt;='RFPR cover'!$C$9,"Actuals","Forecast")</f>
        <v>Forecast</v>
      </c>
      <c r="G24" s="950" t="str">
        <f>IF(G25&lt;='RFPR cover'!$C$9,"Actuals","Forecast")</f>
        <v>Forecast</v>
      </c>
      <c r="H24" s="950" t="str">
        <f>IF(H25&lt;='RFPR cover'!$C$9,"Actuals","Forecast")</f>
        <v>Forecast</v>
      </c>
      <c r="I24" s="950" t="str">
        <f>IF(I25&lt;='RFPR cover'!$C$9,"Actuals","Forecast")</f>
        <v>Forecast</v>
      </c>
      <c r="J24" s="950" t="str">
        <f>IF(J25&lt;='RFPR cover'!$C$9,"Actuals","Forecast")</f>
        <v>Forecast</v>
      </c>
      <c r="K24" s="950" t="str">
        <f>IF(K25&lt;='RFPR cover'!$C$9,"Actuals","Forecast")</f>
        <v>Forecast</v>
      </c>
    </row>
    <row r="25" spans="1:23" ht="14.25" customHeight="1">
      <c r="D25" s="746">
        <v>2021</v>
      </c>
      <c r="E25" s="747">
        <f t="shared" ref="E25:K25" si="5">D25+1</f>
        <v>2022</v>
      </c>
      <c r="F25" s="747">
        <f t="shared" si="5"/>
        <v>2023</v>
      </c>
      <c r="G25" s="747">
        <f t="shared" si="5"/>
        <v>2024</v>
      </c>
      <c r="H25" s="747">
        <f t="shared" si="5"/>
        <v>2025</v>
      </c>
      <c r="I25" s="747">
        <f t="shared" si="5"/>
        <v>2026</v>
      </c>
      <c r="J25" s="747">
        <f t="shared" si="5"/>
        <v>2027</v>
      </c>
      <c r="K25" s="747">
        <f t="shared" si="5"/>
        <v>2028</v>
      </c>
      <c r="M25" s="28"/>
    </row>
    <row r="26" spans="1:23" ht="48.65" customHeight="1">
      <c r="C26" s="956" t="s">
        <v>40</v>
      </c>
      <c r="D26" s="820">
        <f t="shared" ref="D26:K26" si="6">IF(SectorCov="ED2",G16/INDEX($C$16:$N$16,MATCH($E$15,$C$15:$N$15,0)),E16/INDEX($C$16:$N$16,MATCH($C$15,$C$15:$N$15,0)))</f>
        <v>1.0383269111980469</v>
      </c>
      <c r="E26" s="820">
        <f t="shared" si="6"/>
        <v>1.0847835302284383</v>
      </c>
      <c r="F26" s="820">
        <f t="shared" si="6"/>
        <v>1.1682111694202062</v>
      </c>
      <c r="G26" s="820">
        <f t="shared" si="6"/>
        <v>1.2070548174037865</v>
      </c>
      <c r="H26" s="820">
        <f>IF(SectorCov="ED2",K16/INDEX($C$16:$N$16,MATCH($E$15,$C$15:$N$15,0)),I16/INDEX($C$16:$N$16,MATCH($C$15,$C$15:$N$15,0)))</f>
        <v>1.2275072378847331</v>
      </c>
      <c r="I26" s="820">
        <f t="shared" si="6"/>
        <v>1.2509585044470788</v>
      </c>
      <c r="J26" s="820">
        <f t="shared" si="6"/>
        <v>1.2759776745360205</v>
      </c>
      <c r="K26" s="820">
        <f t="shared" si="6"/>
        <v>1.3014972280267409</v>
      </c>
      <c r="M26" s="692"/>
      <c r="N26" s="692"/>
      <c r="O26" s="692"/>
      <c r="P26" s="692"/>
      <c r="Q26" s="692"/>
      <c r="R26" s="692"/>
    </row>
    <row r="27" spans="1:23" ht="58.5" customHeight="1">
      <c r="C27" s="733" t="s">
        <v>41</v>
      </c>
      <c r="D27" s="820">
        <f>INDEX(Data!$C$16:$N$16,MATCH(D$25,Data!$C$15:$N$15,0))/INDEX(Data!$C$16:$N$16,MATCH(D$25-1,Data!$C$15:$N$15,0))</f>
        <v>1.0121283367262093</v>
      </c>
      <c r="E27" s="820">
        <f>INDEX(Data!$C$16:$N$16,MATCH(E$25,Data!$C$15:$N$15,0))/INDEX(Data!$C$16:$N$16,MATCH(E$25-1,Data!$C$15:$N$15,0))</f>
        <v>1.0447418038860117</v>
      </c>
      <c r="F27" s="820">
        <f>INDEX(Data!$C$16:$N$16,MATCH(F$25,Data!$C$15:$N$15,0))/INDEX(Data!$C$16:$N$16,MATCH(F$25-1,Data!$C$15:$N$15,0))</f>
        <v>1.0769071772081564</v>
      </c>
      <c r="G27" s="820">
        <f>INDEX(Data!$C$16:$N$16,MATCH(G$25,Data!$C$15:$N$15,0))/INDEX(Data!$C$16:$N$16,MATCH(G$25-1,Data!$C$15:$N$15,0))</f>
        <v>1.033250536375935</v>
      </c>
      <c r="H27" s="820">
        <f>INDEX(Data!$C$16:$N$16,MATCH(H$25,Data!$C$15:$N$15,0))/INDEX(Data!$C$16:$N$16,MATCH(H$25-1,Data!$C$15:$N$15,0))</f>
        <v>1.0169440693049361</v>
      </c>
      <c r="I27" s="820">
        <f>INDEX(Data!$C$16:$N$16,MATCH(I$25,Data!$C$15:$N$15,0))/INDEX(Data!$C$16:$N$16,MATCH(I$25-1,Data!$C$15:$N$15,0))</f>
        <v>1.0191047888261395</v>
      </c>
      <c r="J27" s="820">
        <f>INDEX(Data!$C$16:$N$16,MATCH(J$25,Data!$C$15:$N$15,0))/INDEX(Data!$C$16:$N$16,MATCH(J$25-1,Data!$C$15:$N$15,0))</f>
        <v>1.02</v>
      </c>
      <c r="K27" s="820">
        <f>INDEX(Data!$C$16:$N$16,MATCH(K$25,Data!$C$15:$N$15,0))/INDEX(Data!$C$16:$N$16,MATCH(K$25-1,Data!$C$15:$N$15,0))</f>
        <v>1.02</v>
      </c>
      <c r="M27" s="692"/>
    </row>
    <row r="28" spans="1:23" ht="71.150000000000006" customHeight="1">
      <c r="C28" s="733" t="s">
        <v>42</v>
      </c>
      <c r="D28" s="820">
        <f>IF(SectorCov="ED2",INDEX(Data!$C$17:$N$17,MATCH(D$25,Data!$C$15:$N$15,0))/Data!$E$16,INDEX(Data!$C$17:$N$17,MATCH(D$25,Data!$C$15:$N$15,0))/Data!$C$16)</f>
        <v>1.0533528227824487</v>
      </c>
      <c r="E28" s="820">
        <f>IF(SectorCov="ED2",INDEX(Data!$C$17:$N$17,MATCH(E$25,Data!$C$15:$N$15,0))/Data!$E$16,INDEX(Data!$C$17:$N$17,MATCH(E$25,Data!$C$15:$N$15,0))/Data!$C$16)</f>
        <v>1.1292169796764278</v>
      </c>
      <c r="F28" s="820">
        <f>IF(SectorCov="ED2",INDEX(Data!$C$17:$N$17,MATCH(F$25,Data!$C$15:$N$15,0))/Data!$E$16,INDEX(Data!$C$17:$N$17,MATCH(F$25,Data!$C$15:$N$15,0))/Data!$C$16)</f>
        <v>1.192415233554351</v>
      </c>
      <c r="G28" s="820">
        <f>IF(SectorCov="ED2",INDEX(Data!$C$17:$N$17,MATCH(G$25,Data!$C$15:$N$15,0))/Data!$E$16,INDEX(Data!$C$17:$N$17,MATCH(G$25,Data!$C$15:$N$15,0))/Data!$C$16)</f>
        <v>1.2168860086427178</v>
      </c>
      <c r="H28" s="820">
        <f>IF(SectorCov="ED2",INDEX(Data!$C$17:$N$17,MATCH(H$25,Data!$C$15:$N$15,0))/Data!$E$16,INDEX(Data!$C$17:$N$17,MATCH(H$25,Data!$C$15:$N$15,0))/Data!$C$16)</f>
        <v>1.2388875438806166</v>
      </c>
      <c r="I28" s="820">
        <f>IF(SectorCov="ED2",INDEX(Data!$C$17:$N$17,MATCH(I$25,Data!$C$15:$N$15,0))/Data!$E$16,INDEX(Data!$C$17:$N$17,MATCH(I$25,Data!$C$15:$N$15,0))/Data!$C$16)</f>
        <v>1.262312949602338</v>
      </c>
      <c r="J28" s="820">
        <f>IF(SectorCov="ED2",INDEX(Data!$C$17:$N$17,MATCH(J$25,Data!$C$15:$N$15,0))/Data!$E$16,INDEX(Data!$C$17:$N$17,MATCH(J$25,Data!$C$15:$N$15,0))/Data!$C$16)</f>
        <v>1.2875592085943848</v>
      </c>
      <c r="K28" s="820">
        <f>IF(SectorCov="ED2",INDEX(Data!$C$17:$N$17,MATCH(K$25,Data!$C$15:$N$15,0))/Data!$E$16,INDEX(Data!$C$17:$N$17,MATCH(K$25,Data!$C$15:$N$15,0))/Data!$C$16)</f>
        <v>1.3133103927662724</v>
      </c>
      <c r="M28" s="692"/>
    </row>
    <row r="29" spans="1:23">
      <c r="A29" s="678"/>
      <c r="B29" s="678"/>
      <c r="C29" s="678"/>
      <c r="M29" s="692"/>
      <c r="N29" s="678"/>
      <c r="O29" s="678"/>
      <c r="P29" s="678"/>
      <c r="Q29" s="678"/>
      <c r="R29" s="678"/>
      <c r="S29" s="678"/>
      <c r="T29" s="678"/>
      <c r="U29" s="678"/>
      <c r="V29" s="678"/>
      <c r="W29" s="678"/>
    </row>
    <row r="30" spans="1:23">
      <c r="B30" s="576"/>
      <c r="C30" s="671"/>
      <c r="D30" s="671"/>
      <c r="E30" s="671"/>
      <c r="F30" s="671"/>
      <c r="G30" s="671"/>
      <c r="H30" s="671"/>
      <c r="I30" s="671"/>
      <c r="J30" s="671"/>
      <c r="K30" s="671"/>
      <c r="M30" s="692"/>
    </row>
    <row r="31" spans="1:23">
      <c r="E31" s="715"/>
      <c r="F31" s="715"/>
      <c r="G31" s="715"/>
      <c r="H31" s="715"/>
      <c r="I31" s="715"/>
      <c r="J31" s="715"/>
      <c r="K31" s="715"/>
      <c r="L31" s="715"/>
      <c r="M31" s="692"/>
    </row>
    <row r="32" spans="1:23">
      <c r="B32" s="576"/>
      <c r="C32" s="671"/>
      <c r="D32" s="671"/>
      <c r="E32" s="671"/>
      <c r="F32" s="671"/>
      <c r="G32" s="671"/>
      <c r="H32" s="671"/>
      <c r="I32" s="671"/>
      <c r="J32" s="671"/>
    </row>
    <row r="33" spans="1:20">
      <c r="B33" s="373"/>
      <c r="C33" s="373"/>
      <c r="D33" s="99"/>
      <c r="E33" s="373"/>
      <c r="F33" s="374"/>
      <c r="G33" s="375"/>
      <c r="H33" s="375"/>
      <c r="I33" s="375"/>
      <c r="J33" s="376"/>
      <c r="K33" s="376"/>
      <c r="L33" s="99"/>
      <c r="M33" s="99"/>
      <c r="N33" s="99"/>
      <c r="O33" s="99"/>
      <c r="P33" s="99"/>
      <c r="Q33" s="99"/>
      <c r="R33" s="99"/>
      <c r="S33" s="99"/>
      <c r="T33" s="99"/>
    </row>
    <row r="34" spans="1:20">
      <c r="B34" s="372" t="s">
        <v>43</v>
      </c>
      <c r="C34" s="89"/>
      <c r="I34" s="40"/>
    </row>
    <row r="35" spans="1:20">
      <c r="C35" s="746">
        <f>RIIO_2_start_date</f>
        <v>2022</v>
      </c>
      <c r="D35" s="747">
        <f t="shared" ref="D35" si="7">C35+1</f>
        <v>2023</v>
      </c>
      <c r="E35" s="747">
        <f t="shared" ref="E35" si="8">D35+1</f>
        <v>2024</v>
      </c>
      <c r="F35" s="747">
        <f t="shared" ref="F35" si="9">E35+1</f>
        <v>2025</v>
      </c>
      <c r="G35" s="747">
        <f t="shared" ref="G35" si="10">F35+1</f>
        <v>2026</v>
      </c>
      <c r="H35" s="747">
        <f t="shared" ref="H35" si="11">G35+1</f>
        <v>2027</v>
      </c>
      <c r="I35" s="747">
        <f t="shared" ref="I35" si="12">H35+1</f>
        <v>2028</v>
      </c>
      <c r="J35" s="747">
        <f t="shared" ref="J35" si="13">I35+1</f>
        <v>2029</v>
      </c>
    </row>
    <row r="36" spans="1:20">
      <c r="B36" s="743" t="s">
        <v>44</v>
      </c>
      <c r="C36" s="734"/>
      <c r="D36" s="735"/>
      <c r="E36" s="698"/>
      <c r="F36" s="698"/>
      <c r="G36" s="698"/>
      <c r="H36" s="698"/>
      <c r="I36" s="699"/>
    </row>
    <row r="37" spans="1:20">
      <c r="A37" s="685"/>
      <c r="B37" s="737" t="s">
        <v>45</v>
      </c>
      <c r="C37" s="736"/>
      <c r="D37" s="422"/>
      <c r="E37" s="700"/>
      <c r="F37" s="700"/>
      <c r="G37" s="700"/>
      <c r="H37" s="700"/>
      <c r="I37" s="371"/>
    </row>
    <row r="38" spans="1:20">
      <c r="A38" s="685"/>
      <c r="B38" s="737" t="s">
        <v>46</v>
      </c>
      <c r="C38" s="737">
        <v>1.8143044979056552E-2</v>
      </c>
      <c r="D38" s="700">
        <v>1.5909426602326575E-2</v>
      </c>
      <c r="E38" s="700">
        <v>1.5486013713550701E-2</v>
      </c>
      <c r="F38" s="700">
        <v>1.4921786215027617E-2</v>
      </c>
      <c r="G38" s="700">
        <v>1.4560675534238218E-2</v>
      </c>
      <c r="H38" s="422"/>
      <c r="I38" s="738"/>
    </row>
    <row r="39" spans="1:20">
      <c r="A39" s="686"/>
      <c r="B39" s="737" t="s">
        <v>47</v>
      </c>
      <c r="C39" s="737">
        <v>2.0500000000000001E-2</v>
      </c>
      <c r="D39" s="700">
        <v>1.9E-2</v>
      </c>
      <c r="E39" s="700">
        <v>1.83E-2</v>
      </c>
      <c r="F39" s="700">
        <v>1.78E-2</v>
      </c>
      <c r="G39" s="700">
        <v>1.7500000000000002E-2</v>
      </c>
      <c r="H39" s="422"/>
      <c r="I39" s="738"/>
      <c r="N39" s="653"/>
      <c r="O39" s="653"/>
      <c r="P39" s="653"/>
      <c r="Q39" s="653"/>
      <c r="R39" s="653"/>
    </row>
    <row r="40" spans="1:20">
      <c r="A40" s="685"/>
      <c r="B40" s="737" t="s">
        <v>25</v>
      </c>
      <c r="C40" s="737">
        <v>2.0500000000000001E-2</v>
      </c>
      <c r="D40" s="700">
        <v>1.9E-2</v>
      </c>
      <c r="E40" s="700">
        <v>1.83E-2</v>
      </c>
      <c r="F40" s="700">
        <v>1.78E-2</v>
      </c>
      <c r="G40" s="700">
        <v>1.7500000000000002E-2</v>
      </c>
      <c r="H40" s="422"/>
      <c r="I40" s="738"/>
    </row>
    <row r="41" spans="1:20">
      <c r="A41" s="685"/>
      <c r="B41" s="737" t="s">
        <v>48</v>
      </c>
      <c r="C41" s="737">
        <v>2.1100000000000001E-2</v>
      </c>
      <c r="D41" s="700">
        <v>1.9599999999999999E-2</v>
      </c>
      <c r="E41" s="700">
        <v>1.89E-2</v>
      </c>
      <c r="F41" s="700">
        <v>1.84E-2</v>
      </c>
      <c r="G41" s="700">
        <v>1.8100000000000002E-2</v>
      </c>
      <c r="H41" s="422"/>
      <c r="I41" s="738"/>
    </row>
    <row r="42" spans="1:20">
      <c r="A42" s="685"/>
      <c r="B42" s="737" t="s">
        <v>27</v>
      </c>
      <c r="C42" s="737">
        <v>2.0500000000000001E-2</v>
      </c>
      <c r="D42" s="700">
        <v>1.9E-2</v>
      </c>
      <c r="E42" s="700">
        <v>1.83E-2</v>
      </c>
      <c r="F42" s="700">
        <v>1.78E-2</v>
      </c>
      <c r="G42" s="700">
        <v>1.7500000000000002E-2</v>
      </c>
      <c r="H42" s="422"/>
      <c r="I42" s="738"/>
    </row>
    <row r="43" spans="1:20">
      <c r="A43" s="685"/>
      <c r="B43" s="739" t="s">
        <v>28</v>
      </c>
      <c r="C43" s="739">
        <v>-1E-4</v>
      </c>
      <c r="D43" s="740">
        <v>9.2999999999999992E-3</v>
      </c>
      <c r="E43" s="740">
        <v>1.06E-2</v>
      </c>
      <c r="F43" s="740">
        <v>9.1999999999999998E-3</v>
      </c>
      <c r="G43" s="740">
        <v>7.7999999999999996E-3</v>
      </c>
      <c r="H43" s="741"/>
      <c r="I43" s="742"/>
    </row>
    <row r="44" spans="1:20">
      <c r="H44" s="40"/>
    </row>
    <row r="45" spans="1:20">
      <c r="B45" s="372" t="s">
        <v>49</v>
      </c>
      <c r="C45" s="89"/>
      <c r="I45" s="40"/>
    </row>
    <row r="46" spans="1:20">
      <c r="A46" s="34" t="s">
        <v>6</v>
      </c>
      <c r="C46" s="746">
        <f>RIIO_2_start_date</f>
        <v>2022</v>
      </c>
      <c r="D46" s="747">
        <f t="shared" ref="D46:J46" si="14">C46+1</f>
        <v>2023</v>
      </c>
      <c r="E46" s="747">
        <f t="shared" si="14"/>
        <v>2024</v>
      </c>
      <c r="F46" s="747">
        <f t="shared" si="14"/>
        <v>2025</v>
      </c>
      <c r="G46" s="747">
        <f t="shared" si="14"/>
        <v>2026</v>
      </c>
      <c r="H46" s="747">
        <f t="shared" si="14"/>
        <v>2027</v>
      </c>
      <c r="I46" s="747">
        <f t="shared" si="14"/>
        <v>2028</v>
      </c>
      <c r="J46" s="747">
        <f t="shared" si="14"/>
        <v>2029</v>
      </c>
    </row>
    <row r="47" spans="1:20">
      <c r="A47" s="34" t="s">
        <v>50</v>
      </c>
      <c r="B47" s="737" t="s">
        <v>19</v>
      </c>
      <c r="C47" s="736"/>
      <c r="D47" s="422"/>
      <c r="E47" s="700"/>
      <c r="F47" s="700"/>
      <c r="G47" s="700"/>
      <c r="H47" s="700"/>
      <c r="I47" s="371"/>
    </row>
    <row r="48" spans="1:20">
      <c r="A48" s="34" t="s">
        <v>51</v>
      </c>
      <c r="B48" s="737" t="s">
        <v>22</v>
      </c>
      <c r="C48" s="737">
        <v>4.2439449777777784E-2</v>
      </c>
      <c r="D48" s="700">
        <v>4.2616093333333334E-2</v>
      </c>
      <c r="E48" s="700">
        <v>4.2388117333333329E-2</v>
      </c>
      <c r="F48" s="700">
        <v>4.2547130666666676E-2</v>
      </c>
      <c r="G48" s="700">
        <v>4.2685452444444452E-2</v>
      </c>
      <c r="H48" s="422"/>
      <c r="I48" s="738"/>
      <c r="N48" s="653"/>
      <c r="O48" s="653"/>
      <c r="P48" s="653"/>
      <c r="Q48" s="653"/>
      <c r="R48" s="653"/>
    </row>
    <row r="49" spans="1:23">
      <c r="A49" s="34" t="s">
        <v>52</v>
      </c>
      <c r="B49" s="737" t="s">
        <v>25</v>
      </c>
      <c r="C49" s="737">
        <v>4.5181881000000007E-2</v>
      </c>
      <c r="D49" s="700">
        <v>4.5568105000000005E-2</v>
      </c>
      <c r="E49" s="700">
        <v>4.5399131999999995E-2</v>
      </c>
      <c r="F49" s="700">
        <v>4.564052200000001E-2</v>
      </c>
      <c r="G49" s="700">
        <v>4.5833633999999998E-2</v>
      </c>
      <c r="H49" s="422"/>
      <c r="I49" s="738"/>
    </row>
    <row r="50" spans="1:23">
      <c r="A50" s="34" t="s">
        <v>53</v>
      </c>
      <c r="B50" s="737" t="s">
        <v>27</v>
      </c>
      <c r="C50" s="1022">
        <v>4.5181881000000007E-2</v>
      </c>
      <c r="D50" s="1023">
        <v>4.5568105000000005E-2</v>
      </c>
      <c r="E50" s="1023">
        <v>4.5399131999999995E-2</v>
      </c>
      <c r="F50" s="1023">
        <v>4.564052200000001E-2</v>
      </c>
      <c r="G50" s="1023">
        <v>4.5833633999999998E-2</v>
      </c>
      <c r="H50" s="422"/>
      <c r="I50" s="738"/>
    </row>
    <row r="51" spans="1:23">
      <c r="A51" s="34" t="s">
        <v>54</v>
      </c>
      <c r="B51" s="739" t="s">
        <v>28</v>
      </c>
      <c r="C51" s="1024">
        <v>7.5718976000000007E-2</v>
      </c>
      <c r="D51" s="1024">
        <v>7.5510080000000007E-2</v>
      </c>
      <c r="E51" s="1024">
        <v>7.5601472000000003E-2</v>
      </c>
      <c r="F51" s="1024">
        <v>7.5470912000000001E-2</v>
      </c>
      <c r="G51" s="1024">
        <v>7.5366464000000008E-2</v>
      </c>
      <c r="H51" s="860"/>
      <c r="I51" s="742"/>
    </row>
    <row r="52" spans="1:23" ht="14" thickBot="1">
      <c r="A52" s="685"/>
      <c r="B52" s="858"/>
      <c r="C52" s="858"/>
      <c r="D52" s="858"/>
      <c r="E52" s="858"/>
      <c r="F52" s="858"/>
      <c r="G52" s="858"/>
      <c r="H52" s="859"/>
      <c r="I52" s="859"/>
    </row>
    <row r="53" spans="1:23" s="678" customFormat="1" ht="41" thickBot="1">
      <c r="A53"/>
      <c r="B53" s="11"/>
      <c r="C53" s="894" t="s">
        <v>55</v>
      </c>
      <c r="D53" s="894" t="s">
        <v>56</v>
      </c>
      <c r="E53" s="894" t="s">
        <v>57</v>
      </c>
      <c r="F53" s="894" t="s">
        <v>58</v>
      </c>
      <c r="G53" s="895" t="s">
        <v>59</v>
      </c>
      <c r="H53" s="1362" t="s">
        <v>60</v>
      </c>
      <c r="I53" s="1363"/>
      <c r="J53" s="1363"/>
      <c r="K53" s="1363"/>
      <c r="L53" s="1363"/>
      <c r="M53" s="1363"/>
      <c r="N53" s="1364"/>
      <c r="O53" s="1362" t="s">
        <v>61</v>
      </c>
      <c r="P53" s="1363"/>
      <c r="Q53" s="1363"/>
      <c r="R53" s="1363"/>
      <c r="S53" s="1363"/>
      <c r="T53" s="1363"/>
      <c r="U53" s="1364"/>
      <c r="V53"/>
      <c r="W53"/>
    </row>
    <row r="54" spans="1:23" ht="14" thickBot="1">
      <c r="A54" s="132" t="s">
        <v>6</v>
      </c>
      <c r="B54" s="889" t="s">
        <v>62</v>
      </c>
      <c r="C54" s="890"/>
      <c r="D54" s="890"/>
      <c r="E54" s="891"/>
      <c r="F54" s="892"/>
      <c r="G54" s="893"/>
      <c r="H54" s="870">
        <v>2022</v>
      </c>
      <c r="I54" s="871">
        <f t="shared" ref="I54:N54" si="15">H54+1</f>
        <v>2023</v>
      </c>
      <c r="J54" s="871">
        <f t="shared" si="15"/>
        <v>2024</v>
      </c>
      <c r="K54" s="872">
        <f t="shared" si="15"/>
        <v>2025</v>
      </c>
      <c r="L54" s="872">
        <f t="shared" si="15"/>
        <v>2026</v>
      </c>
      <c r="M54" s="872">
        <f t="shared" si="15"/>
        <v>2027</v>
      </c>
      <c r="N54" s="873">
        <f t="shared" si="15"/>
        <v>2028</v>
      </c>
      <c r="O54" s="870">
        <v>2022</v>
      </c>
      <c r="P54" s="871">
        <f t="shared" ref="P54:U54" si="16">O54+1</f>
        <v>2023</v>
      </c>
      <c r="Q54" s="871">
        <f t="shared" si="16"/>
        <v>2024</v>
      </c>
      <c r="R54" s="872">
        <f t="shared" si="16"/>
        <v>2025</v>
      </c>
      <c r="S54" s="872">
        <f t="shared" si="16"/>
        <v>2026</v>
      </c>
      <c r="T54" s="872">
        <f t="shared" si="16"/>
        <v>2027</v>
      </c>
      <c r="U54" s="873">
        <f t="shared" si="16"/>
        <v>2028</v>
      </c>
    </row>
    <row r="55" spans="1:23">
      <c r="A55" s="34" t="s">
        <v>19</v>
      </c>
      <c r="B55" s="879" t="s">
        <v>63</v>
      </c>
      <c r="C55" s="876"/>
      <c r="D55" s="876"/>
      <c r="E55" s="880">
        <v>2024</v>
      </c>
      <c r="F55" s="881" t="str">
        <f t="shared" ref="F55:F83" si="17">VLOOKUP($A55,$H$6:$I$10,2,FALSE)</f>
        <v>£m 20/21</v>
      </c>
      <c r="G55" s="882" t="s">
        <v>45</v>
      </c>
      <c r="H55" s="874"/>
      <c r="I55" s="875"/>
      <c r="J55" s="876">
        <f t="shared" ref="J55:N68" si="18">INDEX($C$36:$I$43,MATCH($G55,$B$36:$B$43,0),MATCH(J$54,$C$35:$I$35))</f>
        <v>0</v>
      </c>
      <c r="K55" s="876">
        <f t="shared" si="18"/>
        <v>0</v>
      </c>
      <c r="L55" s="876">
        <f t="shared" si="18"/>
        <v>0</v>
      </c>
      <c r="M55" s="877">
        <f t="shared" si="18"/>
        <v>0</v>
      </c>
      <c r="N55" s="878">
        <f t="shared" si="18"/>
        <v>0</v>
      </c>
      <c r="O55" s="861"/>
      <c r="P55" s="735"/>
      <c r="Q55" s="698">
        <f t="shared" ref="Q55:U68" si="19">INDEX($C$47:$I$51,MATCH($A55,$B$47:$B$51,0),MATCH(Q$54,$C$46:$I$46))</f>
        <v>0</v>
      </c>
      <c r="R55" s="698">
        <f t="shared" si="19"/>
        <v>0</v>
      </c>
      <c r="S55" s="698">
        <f t="shared" si="19"/>
        <v>0</v>
      </c>
      <c r="T55" s="800">
        <f t="shared" si="19"/>
        <v>0</v>
      </c>
      <c r="U55" s="862">
        <f t="shared" si="19"/>
        <v>0</v>
      </c>
    </row>
    <row r="56" spans="1:23">
      <c r="A56" s="34" t="s">
        <v>19</v>
      </c>
      <c r="B56" s="883" t="s">
        <v>64</v>
      </c>
      <c r="C56" s="700"/>
      <c r="D56" s="700"/>
      <c r="E56" s="137">
        <v>2024</v>
      </c>
      <c r="F56" s="138" t="str">
        <f t="shared" si="17"/>
        <v>£m 20/21</v>
      </c>
      <c r="G56" s="884" t="s">
        <v>45</v>
      </c>
      <c r="H56" s="863"/>
      <c r="I56" s="422"/>
      <c r="J56" s="700">
        <f t="shared" si="18"/>
        <v>0</v>
      </c>
      <c r="K56" s="700">
        <f t="shared" si="18"/>
        <v>0</v>
      </c>
      <c r="L56" s="700">
        <f t="shared" si="18"/>
        <v>0</v>
      </c>
      <c r="M56" s="800">
        <f t="shared" si="18"/>
        <v>0</v>
      </c>
      <c r="N56" s="862">
        <f t="shared" si="18"/>
        <v>0</v>
      </c>
      <c r="O56" s="863"/>
      <c r="P56" s="422"/>
      <c r="Q56" s="700">
        <f t="shared" si="19"/>
        <v>0</v>
      </c>
      <c r="R56" s="700">
        <f t="shared" si="19"/>
        <v>0</v>
      </c>
      <c r="S56" s="700">
        <f t="shared" si="19"/>
        <v>0</v>
      </c>
      <c r="T56" s="800">
        <f t="shared" si="19"/>
        <v>0</v>
      </c>
      <c r="U56" s="862">
        <f t="shared" si="19"/>
        <v>0</v>
      </c>
    </row>
    <row r="57" spans="1:23">
      <c r="A57" s="34" t="s">
        <v>19</v>
      </c>
      <c r="B57" s="883" t="s">
        <v>65</v>
      </c>
      <c r="C57" s="700"/>
      <c r="D57" s="700"/>
      <c r="E57" s="137">
        <v>2024</v>
      </c>
      <c r="F57" s="138" t="str">
        <f t="shared" si="17"/>
        <v>£m 20/21</v>
      </c>
      <c r="G57" s="884" t="s">
        <v>45</v>
      </c>
      <c r="H57" s="863"/>
      <c r="I57" s="422"/>
      <c r="J57" s="700">
        <f t="shared" si="18"/>
        <v>0</v>
      </c>
      <c r="K57" s="700">
        <f t="shared" si="18"/>
        <v>0</v>
      </c>
      <c r="L57" s="700">
        <f t="shared" si="18"/>
        <v>0</v>
      </c>
      <c r="M57" s="800">
        <f t="shared" si="18"/>
        <v>0</v>
      </c>
      <c r="N57" s="862">
        <f t="shared" si="18"/>
        <v>0</v>
      </c>
      <c r="O57" s="863"/>
      <c r="P57" s="422"/>
      <c r="Q57" s="700">
        <f t="shared" si="19"/>
        <v>0</v>
      </c>
      <c r="R57" s="700">
        <f t="shared" si="19"/>
        <v>0</v>
      </c>
      <c r="S57" s="700">
        <f t="shared" si="19"/>
        <v>0</v>
      </c>
      <c r="T57" s="800">
        <f t="shared" si="19"/>
        <v>0</v>
      </c>
      <c r="U57" s="862">
        <f t="shared" si="19"/>
        <v>0</v>
      </c>
    </row>
    <row r="58" spans="1:23">
      <c r="A58" s="34" t="s">
        <v>19</v>
      </c>
      <c r="B58" s="883" t="s">
        <v>66</v>
      </c>
      <c r="C58" s="700"/>
      <c r="D58" s="700"/>
      <c r="E58" s="137">
        <v>2024</v>
      </c>
      <c r="F58" s="138" t="str">
        <f t="shared" si="17"/>
        <v>£m 20/21</v>
      </c>
      <c r="G58" s="884" t="s">
        <v>45</v>
      </c>
      <c r="H58" s="863"/>
      <c r="I58" s="422"/>
      <c r="J58" s="700">
        <f t="shared" si="18"/>
        <v>0</v>
      </c>
      <c r="K58" s="700">
        <f t="shared" si="18"/>
        <v>0</v>
      </c>
      <c r="L58" s="700">
        <f t="shared" si="18"/>
        <v>0</v>
      </c>
      <c r="M58" s="800">
        <f t="shared" si="18"/>
        <v>0</v>
      </c>
      <c r="N58" s="862">
        <f t="shared" si="18"/>
        <v>0</v>
      </c>
      <c r="O58" s="863"/>
      <c r="P58" s="422"/>
      <c r="Q58" s="700">
        <f t="shared" si="19"/>
        <v>0</v>
      </c>
      <c r="R58" s="700">
        <f t="shared" si="19"/>
        <v>0</v>
      </c>
      <c r="S58" s="700">
        <f t="shared" si="19"/>
        <v>0</v>
      </c>
      <c r="T58" s="800">
        <f t="shared" si="19"/>
        <v>0</v>
      </c>
      <c r="U58" s="862">
        <f t="shared" si="19"/>
        <v>0</v>
      </c>
    </row>
    <row r="59" spans="1:23">
      <c r="A59" s="34" t="s">
        <v>19</v>
      </c>
      <c r="B59" s="883" t="s">
        <v>67</v>
      </c>
      <c r="C59" s="700"/>
      <c r="D59" s="700"/>
      <c r="E59" s="137">
        <v>2024</v>
      </c>
      <c r="F59" s="138" t="str">
        <f t="shared" si="17"/>
        <v>£m 20/21</v>
      </c>
      <c r="G59" s="884" t="s">
        <v>45</v>
      </c>
      <c r="H59" s="863"/>
      <c r="I59" s="422"/>
      <c r="J59" s="700">
        <f t="shared" si="18"/>
        <v>0</v>
      </c>
      <c r="K59" s="700">
        <f t="shared" si="18"/>
        <v>0</v>
      </c>
      <c r="L59" s="700">
        <f t="shared" si="18"/>
        <v>0</v>
      </c>
      <c r="M59" s="800">
        <f t="shared" si="18"/>
        <v>0</v>
      </c>
      <c r="N59" s="862">
        <f t="shared" si="18"/>
        <v>0</v>
      </c>
      <c r="O59" s="863"/>
      <c r="P59" s="422"/>
      <c r="Q59" s="700">
        <f t="shared" si="19"/>
        <v>0</v>
      </c>
      <c r="R59" s="700">
        <f t="shared" si="19"/>
        <v>0</v>
      </c>
      <c r="S59" s="700">
        <f t="shared" si="19"/>
        <v>0</v>
      </c>
      <c r="T59" s="800">
        <f t="shared" si="19"/>
        <v>0</v>
      </c>
      <c r="U59" s="862">
        <f t="shared" si="19"/>
        <v>0</v>
      </c>
    </row>
    <row r="60" spans="1:23">
      <c r="A60" s="34" t="s">
        <v>19</v>
      </c>
      <c r="B60" s="883" t="s">
        <v>68</v>
      </c>
      <c r="C60" s="700"/>
      <c r="D60" s="700"/>
      <c r="E60" s="137">
        <v>2024</v>
      </c>
      <c r="F60" s="138" t="str">
        <f t="shared" si="17"/>
        <v>£m 20/21</v>
      </c>
      <c r="G60" s="884" t="s">
        <v>45</v>
      </c>
      <c r="H60" s="863"/>
      <c r="I60" s="422"/>
      <c r="J60" s="700">
        <f t="shared" si="18"/>
        <v>0</v>
      </c>
      <c r="K60" s="700">
        <f t="shared" si="18"/>
        <v>0</v>
      </c>
      <c r="L60" s="700">
        <f t="shared" si="18"/>
        <v>0</v>
      </c>
      <c r="M60" s="800">
        <f t="shared" si="18"/>
        <v>0</v>
      </c>
      <c r="N60" s="862">
        <f t="shared" si="18"/>
        <v>0</v>
      </c>
      <c r="O60" s="863"/>
      <c r="P60" s="422"/>
      <c r="Q60" s="700">
        <f t="shared" si="19"/>
        <v>0</v>
      </c>
      <c r="R60" s="700">
        <f t="shared" si="19"/>
        <v>0</v>
      </c>
      <c r="S60" s="700">
        <f t="shared" si="19"/>
        <v>0</v>
      </c>
      <c r="T60" s="800">
        <f t="shared" si="19"/>
        <v>0</v>
      </c>
      <c r="U60" s="862">
        <f t="shared" si="19"/>
        <v>0</v>
      </c>
    </row>
    <row r="61" spans="1:23">
      <c r="A61" s="34" t="s">
        <v>19</v>
      </c>
      <c r="B61" s="883" t="s">
        <v>69</v>
      </c>
      <c r="C61" s="700"/>
      <c r="D61" s="700"/>
      <c r="E61" s="137">
        <v>2024</v>
      </c>
      <c r="F61" s="138" t="str">
        <f t="shared" si="17"/>
        <v>£m 20/21</v>
      </c>
      <c r="G61" s="884" t="s">
        <v>45</v>
      </c>
      <c r="H61" s="863"/>
      <c r="I61" s="422"/>
      <c r="J61" s="700">
        <f t="shared" si="18"/>
        <v>0</v>
      </c>
      <c r="K61" s="700">
        <f t="shared" si="18"/>
        <v>0</v>
      </c>
      <c r="L61" s="700">
        <f t="shared" si="18"/>
        <v>0</v>
      </c>
      <c r="M61" s="800">
        <f t="shared" si="18"/>
        <v>0</v>
      </c>
      <c r="N61" s="862">
        <f t="shared" si="18"/>
        <v>0</v>
      </c>
      <c r="O61" s="863"/>
      <c r="P61" s="422"/>
      <c r="Q61" s="700">
        <f t="shared" si="19"/>
        <v>0</v>
      </c>
      <c r="R61" s="700">
        <f t="shared" si="19"/>
        <v>0</v>
      </c>
      <c r="S61" s="700">
        <f t="shared" si="19"/>
        <v>0</v>
      </c>
      <c r="T61" s="800">
        <f t="shared" si="19"/>
        <v>0</v>
      </c>
      <c r="U61" s="862">
        <f t="shared" si="19"/>
        <v>0</v>
      </c>
    </row>
    <row r="62" spans="1:23">
      <c r="A62" s="34" t="s">
        <v>19</v>
      </c>
      <c r="B62" s="883" t="s">
        <v>70</v>
      </c>
      <c r="C62" s="700"/>
      <c r="D62" s="700"/>
      <c r="E62" s="137">
        <v>2024</v>
      </c>
      <c r="F62" s="138" t="str">
        <f t="shared" si="17"/>
        <v>£m 20/21</v>
      </c>
      <c r="G62" s="884" t="s">
        <v>45</v>
      </c>
      <c r="H62" s="863"/>
      <c r="I62" s="422"/>
      <c r="J62" s="700">
        <f t="shared" si="18"/>
        <v>0</v>
      </c>
      <c r="K62" s="700">
        <f t="shared" si="18"/>
        <v>0</v>
      </c>
      <c r="L62" s="700">
        <f t="shared" si="18"/>
        <v>0</v>
      </c>
      <c r="M62" s="800">
        <f t="shared" si="18"/>
        <v>0</v>
      </c>
      <c r="N62" s="862">
        <f t="shared" si="18"/>
        <v>0</v>
      </c>
      <c r="O62" s="863"/>
      <c r="P62" s="422"/>
      <c r="Q62" s="700">
        <f t="shared" si="19"/>
        <v>0</v>
      </c>
      <c r="R62" s="700">
        <f t="shared" si="19"/>
        <v>0</v>
      </c>
      <c r="S62" s="700">
        <f t="shared" si="19"/>
        <v>0</v>
      </c>
      <c r="T62" s="800">
        <f t="shared" si="19"/>
        <v>0</v>
      </c>
      <c r="U62" s="862">
        <f t="shared" si="19"/>
        <v>0</v>
      </c>
    </row>
    <row r="63" spans="1:23">
      <c r="A63" s="34" t="s">
        <v>19</v>
      </c>
      <c r="B63" s="883" t="s">
        <v>71</v>
      </c>
      <c r="C63" s="700"/>
      <c r="D63" s="700"/>
      <c r="E63" s="137">
        <v>2024</v>
      </c>
      <c r="F63" s="138" t="str">
        <f t="shared" si="17"/>
        <v>£m 20/21</v>
      </c>
      <c r="G63" s="884" t="s">
        <v>45</v>
      </c>
      <c r="H63" s="863"/>
      <c r="I63" s="422"/>
      <c r="J63" s="700">
        <f t="shared" si="18"/>
        <v>0</v>
      </c>
      <c r="K63" s="700">
        <f t="shared" si="18"/>
        <v>0</v>
      </c>
      <c r="L63" s="700">
        <f t="shared" si="18"/>
        <v>0</v>
      </c>
      <c r="M63" s="800">
        <f t="shared" si="18"/>
        <v>0</v>
      </c>
      <c r="N63" s="862">
        <f t="shared" si="18"/>
        <v>0</v>
      </c>
      <c r="O63" s="863"/>
      <c r="P63" s="422"/>
      <c r="Q63" s="700">
        <f t="shared" si="19"/>
        <v>0</v>
      </c>
      <c r="R63" s="700">
        <f t="shared" si="19"/>
        <v>0</v>
      </c>
      <c r="S63" s="700">
        <f t="shared" si="19"/>
        <v>0</v>
      </c>
      <c r="T63" s="800">
        <f t="shared" si="19"/>
        <v>0</v>
      </c>
      <c r="U63" s="862">
        <f t="shared" si="19"/>
        <v>0</v>
      </c>
    </row>
    <row r="64" spans="1:23">
      <c r="A64" s="34" t="s">
        <v>19</v>
      </c>
      <c r="B64" s="883" t="s">
        <v>72</v>
      </c>
      <c r="C64" s="700"/>
      <c r="D64" s="700"/>
      <c r="E64" s="137">
        <v>2024</v>
      </c>
      <c r="F64" s="138" t="str">
        <f t="shared" si="17"/>
        <v>£m 20/21</v>
      </c>
      <c r="G64" s="884" t="s">
        <v>45</v>
      </c>
      <c r="H64" s="863"/>
      <c r="I64" s="422"/>
      <c r="J64" s="700">
        <f t="shared" si="18"/>
        <v>0</v>
      </c>
      <c r="K64" s="700">
        <f t="shared" si="18"/>
        <v>0</v>
      </c>
      <c r="L64" s="700">
        <f t="shared" si="18"/>
        <v>0</v>
      </c>
      <c r="M64" s="800">
        <f t="shared" si="18"/>
        <v>0</v>
      </c>
      <c r="N64" s="862">
        <f t="shared" si="18"/>
        <v>0</v>
      </c>
      <c r="O64" s="863"/>
      <c r="P64" s="422"/>
      <c r="Q64" s="700">
        <f t="shared" si="19"/>
        <v>0</v>
      </c>
      <c r="R64" s="700">
        <f t="shared" si="19"/>
        <v>0</v>
      </c>
      <c r="S64" s="700">
        <f t="shared" si="19"/>
        <v>0</v>
      </c>
      <c r="T64" s="800">
        <f t="shared" si="19"/>
        <v>0</v>
      </c>
      <c r="U64" s="862">
        <f t="shared" si="19"/>
        <v>0</v>
      </c>
    </row>
    <row r="65" spans="1:21">
      <c r="A65" s="34" t="s">
        <v>19</v>
      </c>
      <c r="B65" s="883" t="s">
        <v>73</v>
      </c>
      <c r="C65" s="700"/>
      <c r="D65" s="700"/>
      <c r="E65" s="137">
        <v>2024</v>
      </c>
      <c r="F65" s="138" t="str">
        <f t="shared" si="17"/>
        <v>£m 20/21</v>
      </c>
      <c r="G65" s="884" t="s">
        <v>44</v>
      </c>
      <c r="H65" s="863"/>
      <c r="I65" s="422"/>
      <c r="J65" s="700">
        <f t="shared" si="18"/>
        <v>0</v>
      </c>
      <c r="K65" s="700">
        <f t="shared" si="18"/>
        <v>0</v>
      </c>
      <c r="L65" s="700">
        <f t="shared" si="18"/>
        <v>0</v>
      </c>
      <c r="M65" s="800">
        <f t="shared" si="18"/>
        <v>0</v>
      </c>
      <c r="N65" s="862">
        <f t="shared" si="18"/>
        <v>0</v>
      </c>
      <c r="O65" s="863"/>
      <c r="P65" s="422"/>
      <c r="Q65" s="700">
        <f t="shared" si="19"/>
        <v>0</v>
      </c>
      <c r="R65" s="700">
        <f t="shared" si="19"/>
        <v>0</v>
      </c>
      <c r="S65" s="700">
        <f t="shared" si="19"/>
        <v>0</v>
      </c>
      <c r="T65" s="800">
        <f t="shared" si="19"/>
        <v>0</v>
      </c>
      <c r="U65" s="862">
        <f t="shared" si="19"/>
        <v>0</v>
      </c>
    </row>
    <row r="66" spans="1:21">
      <c r="A66" s="34" t="s">
        <v>19</v>
      </c>
      <c r="B66" s="883" t="s">
        <v>74</v>
      </c>
      <c r="C66" s="700"/>
      <c r="D66" s="700"/>
      <c r="E66" s="137">
        <v>2024</v>
      </c>
      <c r="F66" s="138" t="str">
        <f t="shared" si="17"/>
        <v>£m 20/21</v>
      </c>
      <c r="G66" s="884" t="s">
        <v>44</v>
      </c>
      <c r="H66" s="863"/>
      <c r="I66" s="422"/>
      <c r="J66" s="700">
        <f t="shared" si="18"/>
        <v>0</v>
      </c>
      <c r="K66" s="700">
        <f t="shared" si="18"/>
        <v>0</v>
      </c>
      <c r="L66" s="700">
        <f t="shared" si="18"/>
        <v>0</v>
      </c>
      <c r="M66" s="800">
        <f t="shared" si="18"/>
        <v>0</v>
      </c>
      <c r="N66" s="862">
        <f t="shared" si="18"/>
        <v>0</v>
      </c>
      <c r="O66" s="863"/>
      <c r="P66" s="422"/>
      <c r="Q66" s="700">
        <f t="shared" si="19"/>
        <v>0</v>
      </c>
      <c r="R66" s="700">
        <f t="shared" si="19"/>
        <v>0</v>
      </c>
      <c r="S66" s="700">
        <f t="shared" si="19"/>
        <v>0</v>
      </c>
      <c r="T66" s="800">
        <f t="shared" si="19"/>
        <v>0</v>
      </c>
      <c r="U66" s="862">
        <f t="shared" si="19"/>
        <v>0</v>
      </c>
    </row>
    <row r="67" spans="1:21">
      <c r="A67" s="34" t="s">
        <v>19</v>
      </c>
      <c r="B67" s="883" t="s">
        <v>75</v>
      </c>
      <c r="C67" s="700"/>
      <c r="D67" s="700"/>
      <c r="E67" s="137">
        <v>2024</v>
      </c>
      <c r="F67" s="138" t="str">
        <f t="shared" si="17"/>
        <v>£m 20/21</v>
      </c>
      <c r="G67" s="884" t="s">
        <v>44</v>
      </c>
      <c r="H67" s="863"/>
      <c r="I67" s="422"/>
      <c r="J67" s="700">
        <f t="shared" si="18"/>
        <v>0</v>
      </c>
      <c r="K67" s="700">
        <f t="shared" si="18"/>
        <v>0</v>
      </c>
      <c r="L67" s="700">
        <f t="shared" si="18"/>
        <v>0</v>
      </c>
      <c r="M67" s="800">
        <f t="shared" si="18"/>
        <v>0</v>
      </c>
      <c r="N67" s="862">
        <f t="shared" si="18"/>
        <v>0</v>
      </c>
      <c r="O67" s="863"/>
      <c r="P67" s="422"/>
      <c r="Q67" s="700">
        <f t="shared" si="19"/>
        <v>0</v>
      </c>
      <c r="R67" s="700">
        <f t="shared" si="19"/>
        <v>0</v>
      </c>
      <c r="S67" s="700">
        <f t="shared" si="19"/>
        <v>0</v>
      </c>
      <c r="T67" s="800">
        <f t="shared" si="19"/>
        <v>0</v>
      </c>
      <c r="U67" s="862">
        <f t="shared" si="19"/>
        <v>0</v>
      </c>
    </row>
    <row r="68" spans="1:21">
      <c r="A68" s="34" t="s">
        <v>19</v>
      </c>
      <c r="B68" s="883" t="s">
        <v>76</v>
      </c>
      <c r="C68" s="700"/>
      <c r="D68" s="700"/>
      <c r="E68" s="137">
        <v>2024</v>
      </c>
      <c r="F68" s="138" t="str">
        <f t="shared" si="17"/>
        <v>£m 20/21</v>
      </c>
      <c r="G68" s="884" t="s">
        <v>44</v>
      </c>
      <c r="H68" s="863"/>
      <c r="I68" s="422"/>
      <c r="J68" s="700">
        <f t="shared" si="18"/>
        <v>0</v>
      </c>
      <c r="K68" s="700">
        <f t="shared" si="18"/>
        <v>0</v>
      </c>
      <c r="L68" s="700">
        <f t="shared" si="18"/>
        <v>0</v>
      </c>
      <c r="M68" s="800">
        <f t="shared" si="18"/>
        <v>0</v>
      </c>
      <c r="N68" s="862">
        <f t="shared" si="18"/>
        <v>0</v>
      </c>
      <c r="O68" s="863"/>
      <c r="P68" s="422"/>
      <c r="Q68" s="700">
        <f t="shared" si="19"/>
        <v>0</v>
      </c>
      <c r="R68" s="700">
        <f t="shared" si="19"/>
        <v>0</v>
      </c>
      <c r="S68" s="700">
        <f t="shared" si="19"/>
        <v>0</v>
      </c>
      <c r="T68" s="800">
        <f t="shared" si="19"/>
        <v>0</v>
      </c>
      <c r="U68" s="862">
        <f t="shared" si="19"/>
        <v>0</v>
      </c>
    </row>
    <row r="69" spans="1:21">
      <c r="A69" s="34" t="s">
        <v>25</v>
      </c>
      <c r="B69" s="883" t="s">
        <v>77</v>
      </c>
      <c r="C69" s="700">
        <v>0.5</v>
      </c>
      <c r="D69" s="700">
        <v>0.6</v>
      </c>
      <c r="E69" s="137">
        <v>2022</v>
      </c>
      <c r="F69" s="138" t="str">
        <f t="shared" si="17"/>
        <v>£m 18/19</v>
      </c>
      <c r="G69" s="884" t="s">
        <v>25</v>
      </c>
      <c r="H69" s="864">
        <f t="shared" ref="H69:L83" si="20">INDEX($C$36:$I$43,MATCH($G69,$B$36:$B$43,0),MATCH(H$54,$C$35:$I$35))</f>
        <v>2.0500000000000001E-2</v>
      </c>
      <c r="I69" s="700">
        <f t="shared" si="20"/>
        <v>1.9E-2</v>
      </c>
      <c r="J69" s="700">
        <f t="shared" si="20"/>
        <v>1.83E-2</v>
      </c>
      <c r="K69" s="700">
        <f t="shared" si="20"/>
        <v>1.78E-2</v>
      </c>
      <c r="L69" s="700">
        <f t="shared" si="20"/>
        <v>1.7500000000000002E-2</v>
      </c>
      <c r="M69" s="422"/>
      <c r="N69" s="865"/>
      <c r="O69" s="864">
        <f t="shared" ref="O69:S83" si="21">INDEX($C$47:$I$51,MATCH($A69,$B$47:$B$51,0),MATCH(O$54,$C$46:$I$46))</f>
        <v>4.5181881000000007E-2</v>
      </c>
      <c r="P69" s="700">
        <f t="shared" si="21"/>
        <v>4.5568105000000005E-2</v>
      </c>
      <c r="Q69" s="700">
        <f t="shared" si="21"/>
        <v>4.5399131999999995E-2</v>
      </c>
      <c r="R69" s="700">
        <f t="shared" si="21"/>
        <v>4.564052200000001E-2</v>
      </c>
      <c r="S69" s="700">
        <f t="shared" si="21"/>
        <v>4.5833633999999998E-2</v>
      </c>
      <c r="T69" s="422"/>
      <c r="U69" s="865"/>
    </row>
    <row r="70" spans="1:21">
      <c r="A70" s="34" t="s">
        <v>25</v>
      </c>
      <c r="B70" s="883" t="s">
        <v>78</v>
      </c>
      <c r="C70" s="700">
        <v>0.5</v>
      </c>
      <c r="D70" s="700">
        <v>0.6</v>
      </c>
      <c r="E70" s="137">
        <v>2022</v>
      </c>
      <c r="F70" s="138" t="str">
        <f t="shared" si="17"/>
        <v>£m 18/19</v>
      </c>
      <c r="G70" s="884" t="s">
        <v>25</v>
      </c>
      <c r="H70" s="864">
        <f t="shared" si="20"/>
        <v>2.0500000000000001E-2</v>
      </c>
      <c r="I70" s="700">
        <f t="shared" si="20"/>
        <v>1.9E-2</v>
      </c>
      <c r="J70" s="700">
        <f t="shared" si="20"/>
        <v>1.83E-2</v>
      </c>
      <c r="K70" s="700">
        <f t="shared" si="20"/>
        <v>1.78E-2</v>
      </c>
      <c r="L70" s="700">
        <f t="shared" si="20"/>
        <v>1.7500000000000002E-2</v>
      </c>
      <c r="M70" s="422"/>
      <c r="N70" s="865"/>
      <c r="O70" s="864">
        <f t="shared" si="21"/>
        <v>4.5181881000000007E-2</v>
      </c>
      <c r="P70" s="700">
        <f t="shared" si="21"/>
        <v>4.5568105000000005E-2</v>
      </c>
      <c r="Q70" s="700">
        <f t="shared" si="21"/>
        <v>4.5399131999999995E-2</v>
      </c>
      <c r="R70" s="700">
        <f t="shared" si="21"/>
        <v>4.564052200000001E-2</v>
      </c>
      <c r="S70" s="700">
        <f t="shared" si="21"/>
        <v>4.5833633999999998E-2</v>
      </c>
      <c r="T70" s="422"/>
      <c r="U70" s="865"/>
    </row>
    <row r="71" spans="1:21">
      <c r="A71" s="34" t="s">
        <v>25</v>
      </c>
      <c r="B71" s="883" t="s">
        <v>79</v>
      </c>
      <c r="C71" s="700">
        <v>0.5</v>
      </c>
      <c r="D71" s="700">
        <v>0.6</v>
      </c>
      <c r="E71" s="137">
        <v>2022</v>
      </c>
      <c r="F71" s="138" t="str">
        <f t="shared" si="17"/>
        <v>£m 18/19</v>
      </c>
      <c r="G71" s="884" t="s">
        <v>25</v>
      </c>
      <c r="H71" s="864">
        <f t="shared" si="20"/>
        <v>2.0500000000000001E-2</v>
      </c>
      <c r="I71" s="700">
        <f t="shared" si="20"/>
        <v>1.9E-2</v>
      </c>
      <c r="J71" s="700">
        <f t="shared" si="20"/>
        <v>1.83E-2</v>
      </c>
      <c r="K71" s="700">
        <f t="shared" si="20"/>
        <v>1.78E-2</v>
      </c>
      <c r="L71" s="700">
        <f t="shared" si="20"/>
        <v>1.7500000000000002E-2</v>
      </c>
      <c r="M71" s="422"/>
      <c r="N71" s="865"/>
      <c r="O71" s="864">
        <f t="shared" si="21"/>
        <v>4.5181881000000007E-2</v>
      </c>
      <c r="P71" s="700">
        <f t="shared" si="21"/>
        <v>4.5568105000000005E-2</v>
      </c>
      <c r="Q71" s="700">
        <f t="shared" si="21"/>
        <v>4.5399131999999995E-2</v>
      </c>
      <c r="R71" s="700">
        <f t="shared" si="21"/>
        <v>4.564052200000001E-2</v>
      </c>
      <c r="S71" s="700">
        <f t="shared" si="21"/>
        <v>4.5833633999999998E-2</v>
      </c>
      <c r="T71" s="422"/>
      <c r="U71" s="865"/>
    </row>
    <row r="72" spans="1:21">
      <c r="A72" s="34" t="s">
        <v>25</v>
      </c>
      <c r="B72" s="883" t="s">
        <v>80</v>
      </c>
      <c r="C72" s="700">
        <v>0.5</v>
      </c>
      <c r="D72" s="700">
        <v>0.6</v>
      </c>
      <c r="E72" s="137">
        <v>2022</v>
      </c>
      <c r="F72" s="138" t="str">
        <f t="shared" si="17"/>
        <v>£m 18/19</v>
      </c>
      <c r="G72" s="884" t="s">
        <v>25</v>
      </c>
      <c r="H72" s="864">
        <f t="shared" si="20"/>
        <v>2.0500000000000001E-2</v>
      </c>
      <c r="I72" s="700">
        <f t="shared" si="20"/>
        <v>1.9E-2</v>
      </c>
      <c r="J72" s="700">
        <f t="shared" si="20"/>
        <v>1.83E-2</v>
      </c>
      <c r="K72" s="700">
        <f t="shared" si="20"/>
        <v>1.78E-2</v>
      </c>
      <c r="L72" s="700">
        <f t="shared" si="20"/>
        <v>1.7500000000000002E-2</v>
      </c>
      <c r="M72" s="422"/>
      <c r="N72" s="865"/>
      <c r="O72" s="864">
        <f t="shared" si="21"/>
        <v>4.5181881000000007E-2</v>
      </c>
      <c r="P72" s="700">
        <f t="shared" si="21"/>
        <v>4.5568105000000005E-2</v>
      </c>
      <c r="Q72" s="700">
        <f t="shared" si="21"/>
        <v>4.5399131999999995E-2</v>
      </c>
      <c r="R72" s="700">
        <f t="shared" si="21"/>
        <v>4.564052200000001E-2</v>
      </c>
      <c r="S72" s="700">
        <f t="shared" si="21"/>
        <v>4.5833633999999998E-2</v>
      </c>
      <c r="T72" s="422"/>
      <c r="U72" s="865"/>
    </row>
    <row r="73" spans="1:21">
      <c r="A73" s="34" t="s">
        <v>25</v>
      </c>
      <c r="B73" s="883" t="s">
        <v>81</v>
      </c>
      <c r="C73" s="700">
        <v>0.51</v>
      </c>
      <c r="D73" s="700">
        <v>0.6</v>
      </c>
      <c r="E73" s="137">
        <v>2022</v>
      </c>
      <c r="F73" s="138" t="str">
        <f t="shared" si="17"/>
        <v>£m 18/19</v>
      </c>
      <c r="G73" s="884" t="s">
        <v>48</v>
      </c>
      <c r="H73" s="864">
        <f t="shared" si="20"/>
        <v>2.1100000000000001E-2</v>
      </c>
      <c r="I73" s="700">
        <f t="shared" si="20"/>
        <v>1.9599999999999999E-2</v>
      </c>
      <c r="J73" s="700">
        <f t="shared" si="20"/>
        <v>1.89E-2</v>
      </c>
      <c r="K73" s="700">
        <f t="shared" si="20"/>
        <v>1.84E-2</v>
      </c>
      <c r="L73" s="700">
        <f t="shared" si="20"/>
        <v>1.8100000000000002E-2</v>
      </c>
      <c r="M73" s="422"/>
      <c r="N73" s="865"/>
      <c r="O73" s="864">
        <f t="shared" si="21"/>
        <v>4.5181881000000007E-2</v>
      </c>
      <c r="P73" s="700">
        <f t="shared" si="21"/>
        <v>4.5568105000000005E-2</v>
      </c>
      <c r="Q73" s="700">
        <f t="shared" si="21"/>
        <v>4.5399131999999995E-2</v>
      </c>
      <c r="R73" s="700">
        <f t="shared" si="21"/>
        <v>4.564052200000001E-2</v>
      </c>
      <c r="S73" s="700">
        <f t="shared" si="21"/>
        <v>4.5833633999999998E-2</v>
      </c>
      <c r="T73" s="422"/>
      <c r="U73" s="865"/>
    </row>
    <row r="74" spans="1:21">
      <c r="A74" s="34" t="s">
        <v>25</v>
      </c>
      <c r="B74" s="883" t="s">
        <v>82</v>
      </c>
      <c r="C74" s="700">
        <v>0.51</v>
      </c>
      <c r="D74" s="700">
        <v>0.6</v>
      </c>
      <c r="E74" s="137">
        <v>2022</v>
      </c>
      <c r="F74" s="138" t="str">
        <f t="shared" si="17"/>
        <v>£m 18/19</v>
      </c>
      <c r="G74" s="884" t="s">
        <v>48</v>
      </c>
      <c r="H74" s="864">
        <f t="shared" si="20"/>
        <v>2.1100000000000001E-2</v>
      </c>
      <c r="I74" s="700">
        <f t="shared" si="20"/>
        <v>1.9599999999999999E-2</v>
      </c>
      <c r="J74" s="700">
        <f t="shared" si="20"/>
        <v>1.89E-2</v>
      </c>
      <c r="K74" s="700">
        <f t="shared" si="20"/>
        <v>1.84E-2</v>
      </c>
      <c r="L74" s="700">
        <f t="shared" si="20"/>
        <v>1.8100000000000002E-2</v>
      </c>
      <c r="M74" s="422"/>
      <c r="N74" s="865"/>
      <c r="O74" s="864">
        <f t="shared" si="21"/>
        <v>4.5181881000000007E-2</v>
      </c>
      <c r="P74" s="700">
        <f t="shared" si="21"/>
        <v>4.5568105000000005E-2</v>
      </c>
      <c r="Q74" s="700">
        <f t="shared" si="21"/>
        <v>4.5399131999999995E-2</v>
      </c>
      <c r="R74" s="700">
        <f t="shared" si="21"/>
        <v>4.564052200000001E-2</v>
      </c>
      <c r="S74" s="700">
        <f t="shared" si="21"/>
        <v>4.5833633999999998E-2</v>
      </c>
      <c r="T74" s="422"/>
      <c r="U74" s="865"/>
    </row>
    <row r="75" spans="1:21">
      <c r="A75" s="34" t="s">
        <v>25</v>
      </c>
      <c r="B75" s="883" t="s">
        <v>83</v>
      </c>
      <c r="C75" s="700">
        <v>0.5</v>
      </c>
      <c r="D75" s="700">
        <v>0.6</v>
      </c>
      <c r="E75" s="137">
        <v>2022</v>
      </c>
      <c r="F75" s="138" t="str">
        <f t="shared" si="17"/>
        <v>£m 18/19</v>
      </c>
      <c r="G75" s="884" t="s">
        <v>25</v>
      </c>
      <c r="H75" s="864">
        <f t="shared" si="20"/>
        <v>2.0500000000000001E-2</v>
      </c>
      <c r="I75" s="700">
        <f t="shared" si="20"/>
        <v>1.9E-2</v>
      </c>
      <c r="J75" s="700">
        <f t="shared" si="20"/>
        <v>1.83E-2</v>
      </c>
      <c r="K75" s="700">
        <f t="shared" si="20"/>
        <v>1.78E-2</v>
      </c>
      <c r="L75" s="700">
        <f t="shared" si="20"/>
        <v>1.7500000000000002E-2</v>
      </c>
      <c r="M75" s="422"/>
      <c r="N75" s="865"/>
      <c r="O75" s="864">
        <f t="shared" si="21"/>
        <v>4.5181881000000007E-2</v>
      </c>
      <c r="P75" s="700">
        <f t="shared" si="21"/>
        <v>4.5568105000000005E-2</v>
      </c>
      <c r="Q75" s="700">
        <f t="shared" si="21"/>
        <v>4.5399131999999995E-2</v>
      </c>
      <c r="R75" s="700">
        <f t="shared" si="21"/>
        <v>4.564052200000001E-2</v>
      </c>
      <c r="S75" s="700">
        <f t="shared" si="21"/>
        <v>4.5833633999999998E-2</v>
      </c>
      <c r="T75" s="422"/>
      <c r="U75" s="865"/>
    </row>
    <row r="76" spans="1:21">
      <c r="A76" s="34" t="s">
        <v>25</v>
      </c>
      <c r="B76" s="883" t="s">
        <v>84</v>
      </c>
      <c r="C76" s="700">
        <v>0.5</v>
      </c>
      <c r="D76" s="700">
        <v>0.6</v>
      </c>
      <c r="E76" s="137">
        <v>2022</v>
      </c>
      <c r="F76" s="138" t="str">
        <f t="shared" si="17"/>
        <v>£m 18/19</v>
      </c>
      <c r="G76" s="884" t="s">
        <v>48</v>
      </c>
      <c r="H76" s="864">
        <f t="shared" si="20"/>
        <v>2.1100000000000001E-2</v>
      </c>
      <c r="I76" s="700">
        <f t="shared" si="20"/>
        <v>1.9599999999999999E-2</v>
      </c>
      <c r="J76" s="700">
        <f t="shared" si="20"/>
        <v>1.89E-2</v>
      </c>
      <c r="K76" s="700">
        <f t="shared" si="20"/>
        <v>1.84E-2</v>
      </c>
      <c r="L76" s="700">
        <f t="shared" si="20"/>
        <v>1.8100000000000002E-2</v>
      </c>
      <c r="M76" s="422"/>
      <c r="N76" s="865"/>
      <c r="O76" s="864">
        <f t="shared" si="21"/>
        <v>4.5181881000000007E-2</v>
      </c>
      <c r="P76" s="700">
        <f t="shared" si="21"/>
        <v>4.5568105000000005E-2</v>
      </c>
      <c r="Q76" s="700">
        <f t="shared" si="21"/>
        <v>4.5399131999999995E-2</v>
      </c>
      <c r="R76" s="700">
        <f t="shared" si="21"/>
        <v>4.564052200000001E-2</v>
      </c>
      <c r="S76" s="700">
        <f t="shared" si="21"/>
        <v>4.5833633999999998E-2</v>
      </c>
      <c r="T76" s="422"/>
      <c r="U76" s="865"/>
    </row>
    <row r="77" spans="1:21">
      <c r="A77" s="34" t="s">
        <v>27</v>
      </c>
      <c r="B77" s="883" t="s">
        <v>85</v>
      </c>
      <c r="C77" s="700">
        <v>0.61</v>
      </c>
      <c r="D77" s="700">
        <v>0.6</v>
      </c>
      <c r="E77" s="137">
        <v>2022</v>
      </c>
      <c r="F77" s="138" t="str">
        <f t="shared" si="17"/>
        <v>£m 18/19</v>
      </c>
      <c r="G77" s="884" t="s">
        <v>27</v>
      </c>
      <c r="H77" s="864">
        <f t="shared" si="20"/>
        <v>2.0500000000000001E-2</v>
      </c>
      <c r="I77" s="700">
        <f t="shared" si="20"/>
        <v>1.9E-2</v>
      </c>
      <c r="J77" s="700">
        <f t="shared" si="20"/>
        <v>1.83E-2</v>
      </c>
      <c r="K77" s="700">
        <f t="shared" si="20"/>
        <v>1.78E-2</v>
      </c>
      <c r="L77" s="700">
        <f t="shared" si="20"/>
        <v>1.7500000000000002E-2</v>
      </c>
      <c r="M77" s="422"/>
      <c r="N77" s="865"/>
      <c r="O77" s="864">
        <f t="shared" si="21"/>
        <v>4.5181881000000007E-2</v>
      </c>
      <c r="P77" s="700">
        <f t="shared" si="21"/>
        <v>4.5568105000000005E-2</v>
      </c>
      <c r="Q77" s="700">
        <f t="shared" si="21"/>
        <v>4.5399131999999995E-2</v>
      </c>
      <c r="R77" s="700">
        <f t="shared" si="21"/>
        <v>4.564052200000001E-2</v>
      </c>
      <c r="S77" s="700">
        <f t="shared" si="21"/>
        <v>4.5833633999999998E-2</v>
      </c>
      <c r="T77" s="422"/>
      <c r="U77" s="865"/>
    </row>
    <row r="78" spans="1:21">
      <c r="A78" s="34" t="s">
        <v>27</v>
      </c>
      <c r="B78" s="883" t="s">
        <v>86</v>
      </c>
      <c r="C78" s="700">
        <v>0.61</v>
      </c>
      <c r="D78" s="700">
        <v>0.6</v>
      </c>
      <c r="E78" s="137">
        <v>2022</v>
      </c>
      <c r="F78" s="138" t="str">
        <f t="shared" si="17"/>
        <v>£m 18/19</v>
      </c>
      <c r="G78" s="884" t="s">
        <v>27</v>
      </c>
      <c r="H78" s="864">
        <f t="shared" si="20"/>
        <v>2.0500000000000001E-2</v>
      </c>
      <c r="I78" s="700">
        <f t="shared" si="20"/>
        <v>1.9E-2</v>
      </c>
      <c r="J78" s="700">
        <f t="shared" si="20"/>
        <v>1.83E-2</v>
      </c>
      <c r="K78" s="700">
        <f t="shared" si="20"/>
        <v>1.78E-2</v>
      </c>
      <c r="L78" s="700">
        <f t="shared" si="20"/>
        <v>1.7500000000000002E-2</v>
      </c>
      <c r="M78" s="422"/>
      <c r="N78" s="865"/>
      <c r="O78" s="864">
        <f t="shared" si="21"/>
        <v>4.5181881000000007E-2</v>
      </c>
      <c r="P78" s="700">
        <f t="shared" si="21"/>
        <v>4.5568105000000005E-2</v>
      </c>
      <c r="Q78" s="700">
        <f t="shared" si="21"/>
        <v>4.5399131999999995E-2</v>
      </c>
      <c r="R78" s="700">
        <f t="shared" si="21"/>
        <v>4.564052200000001E-2</v>
      </c>
      <c r="S78" s="700">
        <f t="shared" si="21"/>
        <v>4.5833633999999998E-2</v>
      </c>
      <c r="T78" s="422"/>
      <c r="U78" s="865"/>
    </row>
    <row r="79" spans="1:21">
      <c r="A79" s="34" t="s">
        <v>27</v>
      </c>
      <c r="B79" s="883" t="s">
        <v>87</v>
      </c>
      <c r="C79" s="700">
        <v>0.61</v>
      </c>
      <c r="D79" s="700">
        <v>0.6</v>
      </c>
      <c r="E79" s="137">
        <v>2022</v>
      </c>
      <c r="F79" s="138" t="str">
        <f t="shared" si="17"/>
        <v>£m 18/19</v>
      </c>
      <c r="G79" s="884" t="s">
        <v>27</v>
      </c>
      <c r="H79" s="864">
        <f t="shared" si="20"/>
        <v>2.0500000000000001E-2</v>
      </c>
      <c r="I79" s="700">
        <f t="shared" si="20"/>
        <v>1.9E-2</v>
      </c>
      <c r="J79" s="700">
        <f t="shared" si="20"/>
        <v>1.83E-2</v>
      </c>
      <c r="K79" s="700">
        <f t="shared" si="20"/>
        <v>1.78E-2</v>
      </c>
      <c r="L79" s="700">
        <f t="shared" si="20"/>
        <v>1.7500000000000002E-2</v>
      </c>
      <c r="M79" s="422"/>
      <c r="N79" s="865"/>
      <c r="O79" s="864">
        <f t="shared" si="21"/>
        <v>4.5181881000000007E-2</v>
      </c>
      <c r="P79" s="700">
        <f t="shared" si="21"/>
        <v>4.5568105000000005E-2</v>
      </c>
      <c r="Q79" s="700">
        <f t="shared" si="21"/>
        <v>4.5399131999999995E-2</v>
      </c>
      <c r="R79" s="700">
        <f t="shared" si="21"/>
        <v>4.564052200000001E-2</v>
      </c>
      <c r="S79" s="700">
        <f t="shared" si="21"/>
        <v>4.5833633999999998E-2</v>
      </c>
      <c r="T79" s="422"/>
      <c r="U79" s="865"/>
    </row>
    <row r="80" spans="1:21">
      <c r="A80" s="34" t="s">
        <v>22</v>
      </c>
      <c r="B80" s="883" t="s">
        <v>4</v>
      </c>
      <c r="C80" s="700">
        <v>0.67</v>
      </c>
      <c r="D80" s="700">
        <v>0.55000000000000004</v>
      </c>
      <c r="E80" s="137">
        <v>2022</v>
      </c>
      <c r="F80" s="138" t="str">
        <f t="shared" si="17"/>
        <v>£m 18/19</v>
      </c>
      <c r="G80" s="884" t="s">
        <v>47</v>
      </c>
      <c r="H80" s="864">
        <f t="shared" si="20"/>
        <v>2.0500000000000001E-2</v>
      </c>
      <c r="I80" s="700">
        <f t="shared" si="20"/>
        <v>1.9E-2</v>
      </c>
      <c r="J80" s="700">
        <f t="shared" si="20"/>
        <v>1.83E-2</v>
      </c>
      <c r="K80" s="700">
        <f t="shared" si="20"/>
        <v>1.78E-2</v>
      </c>
      <c r="L80" s="700">
        <f t="shared" si="20"/>
        <v>1.7500000000000002E-2</v>
      </c>
      <c r="M80" s="422"/>
      <c r="N80" s="865"/>
      <c r="O80" s="864">
        <f t="shared" si="21"/>
        <v>4.2439449777777784E-2</v>
      </c>
      <c r="P80" s="700">
        <f t="shared" si="21"/>
        <v>4.2616093333333334E-2</v>
      </c>
      <c r="Q80" s="700">
        <f t="shared" si="21"/>
        <v>4.2388117333333329E-2</v>
      </c>
      <c r="R80" s="700">
        <f t="shared" si="21"/>
        <v>4.2547130666666676E-2</v>
      </c>
      <c r="S80" s="700">
        <f t="shared" si="21"/>
        <v>4.2685452444444452E-2</v>
      </c>
      <c r="T80" s="422"/>
      <c r="U80" s="865"/>
    </row>
    <row r="81" spans="1:21">
      <c r="A81" s="34" t="s">
        <v>28</v>
      </c>
      <c r="B81" s="883" t="s">
        <v>28</v>
      </c>
      <c r="C81" s="700">
        <v>1</v>
      </c>
      <c r="D81" s="700">
        <v>0.55000000000000004</v>
      </c>
      <c r="E81" s="137">
        <v>2022</v>
      </c>
      <c r="F81" s="138" t="str">
        <f t="shared" si="17"/>
        <v>£m 18/19</v>
      </c>
      <c r="G81" s="884" t="s">
        <v>28</v>
      </c>
      <c r="H81" s="864">
        <f t="shared" si="20"/>
        <v>-1E-4</v>
      </c>
      <c r="I81" s="700">
        <f t="shared" si="20"/>
        <v>9.2999999999999992E-3</v>
      </c>
      <c r="J81" s="700">
        <f t="shared" si="20"/>
        <v>1.06E-2</v>
      </c>
      <c r="K81" s="700">
        <f t="shared" si="20"/>
        <v>9.1999999999999998E-3</v>
      </c>
      <c r="L81" s="700">
        <f t="shared" si="20"/>
        <v>7.7999999999999996E-3</v>
      </c>
      <c r="M81" s="422"/>
      <c r="N81" s="865"/>
      <c r="O81" s="864">
        <f t="shared" si="21"/>
        <v>7.5718976000000007E-2</v>
      </c>
      <c r="P81" s="700">
        <f t="shared" si="21"/>
        <v>7.5510080000000007E-2</v>
      </c>
      <c r="Q81" s="700">
        <f t="shared" si="21"/>
        <v>7.5601472000000003E-2</v>
      </c>
      <c r="R81" s="700">
        <f t="shared" si="21"/>
        <v>7.5470912000000001E-2</v>
      </c>
      <c r="S81" s="700">
        <f t="shared" si="21"/>
        <v>7.5366464000000008E-2</v>
      </c>
      <c r="T81" s="422"/>
      <c r="U81" s="865"/>
    </row>
    <row r="82" spans="1:21">
      <c r="A82" s="34" t="s">
        <v>22</v>
      </c>
      <c r="B82" s="883" t="s">
        <v>88</v>
      </c>
      <c r="C82" s="700">
        <v>0.51</v>
      </c>
      <c r="D82" s="700">
        <v>0.55000000000000004</v>
      </c>
      <c r="E82" s="137">
        <v>2022</v>
      </c>
      <c r="F82" s="138" t="str">
        <f t="shared" si="17"/>
        <v>£m 18/19</v>
      </c>
      <c r="G82" s="884" t="s">
        <v>47</v>
      </c>
      <c r="H82" s="864">
        <f t="shared" si="20"/>
        <v>2.0500000000000001E-2</v>
      </c>
      <c r="I82" s="700">
        <f t="shared" si="20"/>
        <v>1.9E-2</v>
      </c>
      <c r="J82" s="700">
        <f t="shared" si="20"/>
        <v>1.83E-2</v>
      </c>
      <c r="K82" s="700">
        <f t="shared" si="20"/>
        <v>1.78E-2</v>
      </c>
      <c r="L82" s="700">
        <f t="shared" si="20"/>
        <v>1.7500000000000002E-2</v>
      </c>
      <c r="M82" s="422"/>
      <c r="N82" s="865"/>
      <c r="O82" s="864">
        <f t="shared" si="21"/>
        <v>4.2439449777777784E-2</v>
      </c>
      <c r="P82" s="700">
        <f t="shared" si="21"/>
        <v>4.2616093333333334E-2</v>
      </c>
      <c r="Q82" s="700">
        <f t="shared" si="21"/>
        <v>4.2388117333333329E-2</v>
      </c>
      <c r="R82" s="700">
        <f t="shared" si="21"/>
        <v>4.2547130666666676E-2</v>
      </c>
      <c r="S82" s="700">
        <f t="shared" si="21"/>
        <v>4.2685452444444452E-2</v>
      </c>
      <c r="T82" s="422"/>
      <c r="U82" s="865"/>
    </row>
    <row r="83" spans="1:21" ht="14" thickBot="1">
      <c r="A83" s="34" t="s">
        <v>22</v>
      </c>
      <c r="B83" s="885" t="s">
        <v>46</v>
      </c>
      <c r="C83" s="867">
        <v>0.64</v>
      </c>
      <c r="D83" s="867">
        <v>0.55000000000000004</v>
      </c>
      <c r="E83" s="886">
        <v>2022</v>
      </c>
      <c r="F83" s="887" t="str">
        <f t="shared" si="17"/>
        <v>£m 18/19</v>
      </c>
      <c r="G83" s="888" t="s">
        <v>46</v>
      </c>
      <c r="H83" s="866">
        <f t="shared" si="20"/>
        <v>1.8143044979056552E-2</v>
      </c>
      <c r="I83" s="867">
        <f t="shared" si="20"/>
        <v>1.5909426602326575E-2</v>
      </c>
      <c r="J83" s="867">
        <f t="shared" si="20"/>
        <v>1.5486013713550701E-2</v>
      </c>
      <c r="K83" s="867">
        <f t="shared" si="20"/>
        <v>1.4921786215027617E-2</v>
      </c>
      <c r="L83" s="867">
        <f t="shared" si="20"/>
        <v>1.4560675534238218E-2</v>
      </c>
      <c r="M83" s="868"/>
      <c r="N83" s="869"/>
      <c r="O83" s="866">
        <f t="shared" si="21"/>
        <v>4.2439449777777784E-2</v>
      </c>
      <c r="P83" s="867">
        <f t="shared" si="21"/>
        <v>4.2616093333333334E-2</v>
      </c>
      <c r="Q83" s="867">
        <f t="shared" si="21"/>
        <v>4.2388117333333329E-2</v>
      </c>
      <c r="R83" s="867">
        <f t="shared" si="21"/>
        <v>4.2547130666666676E-2</v>
      </c>
      <c r="S83" s="867">
        <f t="shared" si="21"/>
        <v>4.2685452444444452E-2</v>
      </c>
      <c r="T83" s="868"/>
      <c r="U83" s="869"/>
    </row>
    <row r="84" spans="1:21">
      <c r="I84" s="40"/>
    </row>
    <row r="85" spans="1:21">
      <c r="I85" s="40"/>
    </row>
    <row r="86" spans="1:21">
      <c r="I86" s="40"/>
    </row>
    <row r="87" spans="1:21">
      <c r="B87" s="6"/>
      <c r="D87" s="689"/>
      <c r="E87" s="689"/>
      <c r="F87" s="689"/>
      <c r="G87" s="689"/>
      <c r="H87" s="689"/>
      <c r="I87" s="689"/>
      <c r="J87" s="689"/>
    </row>
    <row r="89" spans="1:21" ht="15.5">
      <c r="B89" s="658" t="s">
        <v>89</v>
      </c>
      <c r="C89" s="63">
        <v>2022</v>
      </c>
      <c r="D89" s="64">
        <f t="shared" ref="D89:I89" si="22">C89+1</f>
        <v>2023</v>
      </c>
      <c r="E89" s="64">
        <f t="shared" si="22"/>
        <v>2024</v>
      </c>
      <c r="F89" s="64">
        <f t="shared" si="22"/>
        <v>2025</v>
      </c>
      <c r="G89" s="64">
        <f t="shared" si="22"/>
        <v>2026</v>
      </c>
      <c r="H89" s="64">
        <f t="shared" si="22"/>
        <v>2027</v>
      </c>
      <c r="I89" s="64">
        <f t="shared" si="22"/>
        <v>2028</v>
      </c>
    </row>
    <row r="90" spans="1:21">
      <c r="B90" s="659" t="s">
        <v>63</v>
      </c>
      <c r="C90" s="422"/>
      <c r="D90" s="422"/>
      <c r="E90" s="660">
        <v>0</v>
      </c>
      <c r="F90" s="660">
        <v>0</v>
      </c>
      <c r="G90" s="660">
        <v>0</v>
      </c>
      <c r="H90" s="660">
        <v>0</v>
      </c>
      <c r="I90" s="660">
        <v>0</v>
      </c>
    </row>
    <row r="91" spans="1:21">
      <c r="B91" s="659" t="s">
        <v>64</v>
      </c>
      <c r="C91" s="422"/>
      <c r="D91" s="422"/>
      <c r="E91" s="660">
        <v>0</v>
      </c>
      <c r="F91" s="660">
        <v>0</v>
      </c>
      <c r="G91" s="660">
        <v>0</v>
      </c>
      <c r="H91" s="660">
        <v>0</v>
      </c>
      <c r="I91" s="660">
        <v>0</v>
      </c>
    </row>
    <row r="92" spans="1:21">
      <c r="B92" s="659" t="s">
        <v>65</v>
      </c>
      <c r="C92" s="422"/>
      <c r="D92" s="422"/>
      <c r="E92" s="660">
        <v>0</v>
      </c>
      <c r="F92" s="660">
        <v>0</v>
      </c>
      <c r="G92" s="660">
        <v>0</v>
      </c>
      <c r="H92" s="660">
        <v>0</v>
      </c>
      <c r="I92" s="660">
        <v>0</v>
      </c>
      <c r="J92" s="506"/>
      <c r="K92" s="506"/>
      <c r="L92" s="506"/>
      <c r="M92" s="506"/>
      <c r="N92" s="506"/>
    </row>
    <row r="93" spans="1:21">
      <c r="B93" s="659" t="s">
        <v>66</v>
      </c>
      <c r="C93" s="422"/>
      <c r="D93" s="422"/>
      <c r="E93" s="660">
        <v>0</v>
      </c>
      <c r="F93" s="660">
        <v>0</v>
      </c>
      <c r="G93" s="660">
        <v>0</v>
      </c>
      <c r="H93" s="660">
        <v>0</v>
      </c>
      <c r="I93" s="660">
        <v>0</v>
      </c>
    </row>
    <row r="94" spans="1:21">
      <c r="B94" s="659" t="s">
        <v>67</v>
      </c>
      <c r="C94" s="422"/>
      <c r="D94" s="422"/>
      <c r="E94" s="660">
        <v>0</v>
      </c>
      <c r="F94" s="660">
        <v>0</v>
      </c>
      <c r="G94" s="660">
        <v>0</v>
      </c>
      <c r="H94" s="660">
        <v>0</v>
      </c>
      <c r="I94" s="660">
        <v>0</v>
      </c>
    </row>
    <row r="95" spans="1:21">
      <c r="B95" s="659" t="s">
        <v>68</v>
      </c>
      <c r="C95" s="422"/>
      <c r="D95" s="422"/>
      <c r="E95" s="660">
        <v>0</v>
      </c>
      <c r="F95" s="660">
        <v>0</v>
      </c>
      <c r="G95" s="660">
        <v>0</v>
      </c>
      <c r="H95" s="660">
        <v>0</v>
      </c>
      <c r="I95" s="660">
        <v>0</v>
      </c>
    </row>
    <row r="96" spans="1:21">
      <c r="B96" s="659" t="s">
        <v>69</v>
      </c>
      <c r="C96" s="422"/>
      <c r="D96" s="422"/>
      <c r="E96" s="660">
        <v>0</v>
      </c>
      <c r="F96" s="660">
        <v>0</v>
      </c>
      <c r="G96" s="660">
        <v>0</v>
      </c>
      <c r="H96" s="660">
        <v>0</v>
      </c>
      <c r="I96" s="660">
        <v>0</v>
      </c>
    </row>
    <row r="97" spans="2:9">
      <c r="B97" s="659" t="s">
        <v>70</v>
      </c>
      <c r="C97" s="422"/>
      <c r="D97" s="422"/>
      <c r="E97" s="660">
        <v>0</v>
      </c>
      <c r="F97" s="660">
        <v>0</v>
      </c>
      <c r="G97" s="660">
        <v>0</v>
      </c>
      <c r="H97" s="660">
        <v>0</v>
      </c>
      <c r="I97" s="660">
        <v>0</v>
      </c>
    </row>
    <row r="98" spans="2:9">
      <c r="B98" s="659" t="s">
        <v>71</v>
      </c>
      <c r="C98" s="422"/>
      <c r="D98" s="422"/>
      <c r="E98" s="660">
        <v>0</v>
      </c>
      <c r="F98" s="660">
        <v>0</v>
      </c>
      <c r="G98" s="660">
        <v>0</v>
      </c>
      <c r="H98" s="660">
        <v>0</v>
      </c>
      <c r="I98" s="660">
        <v>0</v>
      </c>
    </row>
    <row r="99" spans="2:9">
      <c r="B99" s="659" t="s">
        <v>72</v>
      </c>
      <c r="C99" s="422"/>
      <c r="D99" s="422"/>
      <c r="E99" s="660">
        <v>0</v>
      </c>
      <c r="F99" s="660">
        <v>0</v>
      </c>
      <c r="G99" s="660">
        <v>0</v>
      </c>
      <c r="H99" s="660">
        <v>0</v>
      </c>
      <c r="I99" s="660">
        <v>0</v>
      </c>
    </row>
    <row r="100" spans="2:9">
      <c r="B100" s="659" t="s">
        <v>73</v>
      </c>
      <c r="C100" s="422"/>
      <c r="D100" s="422"/>
      <c r="E100" s="660">
        <v>0</v>
      </c>
      <c r="F100" s="660">
        <v>0</v>
      </c>
      <c r="G100" s="660">
        <v>0</v>
      </c>
      <c r="H100" s="660">
        <v>0</v>
      </c>
      <c r="I100" s="660">
        <v>0</v>
      </c>
    </row>
    <row r="101" spans="2:9">
      <c r="B101" s="659" t="s">
        <v>74</v>
      </c>
      <c r="C101" s="422"/>
      <c r="D101" s="422"/>
      <c r="E101" s="660">
        <v>0</v>
      </c>
      <c r="F101" s="660">
        <v>0</v>
      </c>
      <c r="G101" s="660">
        <v>0</v>
      </c>
      <c r="H101" s="660">
        <v>0</v>
      </c>
      <c r="I101" s="660">
        <v>0</v>
      </c>
    </row>
    <row r="102" spans="2:9">
      <c r="B102" s="659" t="s">
        <v>75</v>
      </c>
      <c r="C102" s="422"/>
      <c r="D102" s="422"/>
      <c r="E102" s="660">
        <v>0</v>
      </c>
      <c r="F102" s="660">
        <v>0</v>
      </c>
      <c r="G102" s="660">
        <v>0</v>
      </c>
      <c r="H102" s="660">
        <v>0</v>
      </c>
      <c r="I102" s="660">
        <v>0</v>
      </c>
    </row>
    <row r="103" spans="2:9">
      <c r="B103" s="659" t="s">
        <v>76</v>
      </c>
      <c r="C103" s="422"/>
      <c r="D103" s="422"/>
      <c r="E103" s="660">
        <v>0</v>
      </c>
      <c r="F103" s="660">
        <v>0</v>
      </c>
      <c r="G103" s="660">
        <v>0</v>
      </c>
      <c r="H103" s="660">
        <v>0</v>
      </c>
      <c r="I103" s="660">
        <v>0</v>
      </c>
    </row>
    <row r="104" spans="2:9">
      <c r="B104" s="659" t="s">
        <v>77</v>
      </c>
      <c r="C104" s="661">
        <v>3.6510479549499562E-2</v>
      </c>
      <c r="D104" s="661">
        <v>3.6510479549499562E-2</v>
      </c>
      <c r="E104" s="661">
        <v>3.6510479549499562E-2</v>
      </c>
      <c r="F104" s="661">
        <v>3.6510479549499562E-2</v>
      </c>
      <c r="G104" s="661">
        <v>3.6510479549499562E-2</v>
      </c>
      <c r="H104" s="422"/>
      <c r="I104" s="422"/>
    </row>
    <row r="105" spans="2:9">
      <c r="B105" s="659" t="s">
        <v>78</v>
      </c>
      <c r="C105" s="661">
        <v>2.7462875901387192E-2</v>
      </c>
      <c r="D105" s="661">
        <v>2.7462875901387192E-2</v>
      </c>
      <c r="E105" s="661">
        <v>2.7462875901387192E-2</v>
      </c>
      <c r="F105" s="661">
        <v>2.7462875901387192E-2</v>
      </c>
      <c r="G105" s="661">
        <v>2.7462875901387192E-2</v>
      </c>
      <c r="H105" s="422"/>
      <c r="I105" s="422"/>
    </row>
    <row r="106" spans="2:9">
      <c r="B106" s="659" t="s">
        <v>79</v>
      </c>
      <c r="C106" s="661">
        <v>1.7082326729376533E-2</v>
      </c>
      <c r="D106" s="661">
        <v>1.7082326729376533E-2</v>
      </c>
      <c r="E106" s="661">
        <v>1.7082326729376533E-2</v>
      </c>
      <c r="F106" s="661">
        <v>1.7082326729376533E-2</v>
      </c>
      <c r="G106" s="661">
        <v>1.7082326729376533E-2</v>
      </c>
      <c r="H106" s="422"/>
      <c r="I106" s="422"/>
    </row>
    <row r="107" spans="2:9">
      <c r="B107" s="659" t="s">
        <v>80</v>
      </c>
      <c r="C107" s="661">
        <v>2.5713646682447938E-2</v>
      </c>
      <c r="D107" s="661">
        <v>2.5713646682447938E-2</v>
      </c>
      <c r="E107" s="661">
        <v>2.5713646682447938E-2</v>
      </c>
      <c r="F107" s="661">
        <v>2.5713646682447938E-2</v>
      </c>
      <c r="G107" s="661">
        <v>2.5713646682447938E-2</v>
      </c>
      <c r="H107" s="422"/>
      <c r="I107" s="422"/>
    </row>
    <row r="108" spans="2:9">
      <c r="B108" s="659" t="s">
        <v>81</v>
      </c>
      <c r="C108" s="661">
        <v>0.4206045538022069</v>
      </c>
      <c r="D108" s="661">
        <v>0.4206045538022069</v>
      </c>
      <c r="E108" s="661">
        <v>0.4206045538022069</v>
      </c>
      <c r="F108" s="661">
        <v>0.4206045538022069</v>
      </c>
      <c r="G108" s="661">
        <v>0.4206045538022069</v>
      </c>
      <c r="H108" s="422"/>
      <c r="I108" s="422"/>
    </row>
    <row r="109" spans="2:9">
      <c r="B109" s="659" t="s">
        <v>82</v>
      </c>
      <c r="C109" s="660">
        <v>0</v>
      </c>
      <c r="D109" s="660">
        <v>0</v>
      </c>
      <c r="E109" s="660">
        <v>0</v>
      </c>
      <c r="F109" s="660">
        <v>0</v>
      </c>
      <c r="G109" s="660">
        <v>0</v>
      </c>
      <c r="H109" s="422"/>
      <c r="I109" s="422"/>
    </row>
    <row r="110" spans="2:9">
      <c r="B110" s="659" t="s">
        <v>83</v>
      </c>
      <c r="C110" s="660">
        <v>0</v>
      </c>
      <c r="D110" s="660">
        <v>0</v>
      </c>
      <c r="E110" s="660">
        <v>0</v>
      </c>
      <c r="F110" s="660">
        <v>0</v>
      </c>
      <c r="G110" s="660">
        <v>0</v>
      </c>
      <c r="H110" s="422"/>
      <c r="I110" s="422"/>
    </row>
    <row r="111" spans="2:9">
      <c r="B111" s="659" t="s">
        <v>84</v>
      </c>
      <c r="C111" s="660">
        <v>0</v>
      </c>
      <c r="D111" s="660">
        <v>0</v>
      </c>
      <c r="E111" s="660">
        <v>0</v>
      </c>
      <c r="F111" s="660">
        <v>0</v>
      </c>
      <c r="G111" s="660">
        <v>0</v>
      </c>
      <c r="H111" s="422"/>
      <c r="I111" s="422"/>
    </row>
    <row r="112" spans="2:9">
      <c r="B112" s="659" t="s">
        <v>85</v>
      </c>
      <c r="C112" s="662">
        <v>-4.3390000000000004</v>
      </c>
      <c r="D112" s="662">
        <v>-4.3390000000000004</v>
      </c>
      <c r="E112" s="662">
        <v>-4.3390000000000004</v>
      </c>
      <c r="F112" s="662">
        <v>-4.3390000000000004</v>
      </c>
      <c r="G112" s="662">
        <v>-4.3390000000000004</v>
      </c>
      <c r="H112" s="422"/>
      <c r="I112" s="422"/>
    </row>
    <row r="113" spans="1:14">
      <c r="B113" s="659" t="s">
        <v>86</v>
      </c>
      <c r="C113" s="660">
        <v>0</v>
      </c>
      <c r="D113" s="660">
        <v>0</v>
      </c>
      <c r="E113" s="660">
        <v>0</v>
      </c>
      <c r="F113" s="660">
        <v>0</v>
      </c>
      <c r="G113" s="660">
        <v>0</v>
      </c>
      <c r="H113" s="422"/>
      <c r="I113" s="422"/>
    </row>
    <row r="114" spans="1:14">
      <c r="B114" s="659" t="s">
        <v>87</v>
      </c>
      <c r="C114" s="662">
        <v>-4.3390000000000004</v>
      </c>
      <c r="D114" s="662">
        <v>-4.3390000000000004</v>
      </c>
      <c r="E114" s="662">
        <v>-4.3390000000000004</v>
      </c>
      <c r="F114" s="662">
        <v>-4.3390000000000004</v>
      </c>
      <c r="G114" s="662">
        <v>-4.3390000000000004</v>
      </c>
      <c r="H114" s="422"/>
      <c r="I114" s="422"/>
    </row>
    <row r="115" spans="1:14">
      <c r="B115" s="659" t="s">
        <v>4</v>
      </c>
      <c r="C115" s="665">
        <v>-13</v>
      </c>
      <c r="D115" s="665">
        <v>-13</v>
      </c>
      <c r="E115" s="665">
        <v>-13</v>
      </c>
      <c r="F115" s="665">
        <v>-13</v>
      </c>
      <c r="G115" s="665">
        <v>-13</v>
      </c>
      <c r="H115" s="422"/>
      <c r="I115" s="422"/>
    </row>
    <row r="116" spans="1:14">
      <c r="B116" s="659" t="s">
        <v>28</v>
      </c>
      <c r="C116" s="660">
        <v>0</v>
      </c>
      <c r="D116" s="660">
        <v>0</v>
      </c>
      <c r="E116" s="660">
        <v>0</v>
      </c>
      <c r="F116" s="660">
        <v>0</v>
      </c>
      <c r="G116" s="660">
        <v>0</v>
      </c>
      <c r="H116" s="422"/>
      <c r="I116" s="422"/>
    </row>
    <row r="117" spans="1:14">
      <c r="B117" s="659" t="s">
        <v>88</v>
      </c>
      <c r="C117" s="661">
        <v>1</v>
      </c>
      <c r="D117" s="661">
        <v>1</v>
      </c>
      <c r="E117" s="661">
        <v>1</v>
      </c>
      <c r="F117" s="661">
        <v>1</v>
      </c>
      <c r="G117" s="661">
        <v>1</v>
      </c>
      <c r="H117" s="422"/>
      <c r="I117" s="422"/>
    </row>
    <row r="118" spans="1:14">
      <c r="B118" s="663" t="s">
        <v>46</v>
      </c>
      <c r="C118" s="661">
        <v>4.3620000000000001</v>
      </c>
      <c r="D118" s="661">
        <v>4.3620000000000001</v>
      </c>
      <c r="E118" s="664">
        <v>4.3620000000000001</v>
      </c>
      <c r="F118" s="664">
        <v>4.3620000000000001</v>
      </c>
      <c r="G118" s="664">
        <v>4.3620000000000001</v>
      </c>
      <c r="H118" s="422"/>
      <c r="I118" s="422"/>
    </row>
    <row r="119" spans="1:14">
      <c r="B119" s="89"/>
    </row>
    <row r="120" spans="1:14">
      <c r="B120" s="748" t="str">
        <f>LEFT('RFPR cover'!C8,2)</f>
        <v>ET</v>
      </c>
      <c r="C120" s="957"/>
      <c r="D120" s="957"/>
      <c r="E120" s="957"/>
      <c r="F120" s="957"/>
      <c r="G120" s="957"/>
      <c r="H120" s="957"/>
      <c r="I120" s="957"/>
      <c r="J120" s="957"/>
      <c r="K120" s="957"/>
      <c r="L120" s="749"/>
    </row>
    <row r="121" spans="1:14">
      <c r="A121" s="93"/>
      <c r="B121" s="390" t="s">
        <v>90</v>
      </c>
      <c r="C121" s="391"/>
      <c r="D121" s="391"/>
      <c r="E121" s="391"/>
      <c r="F121" s="389"/>
      <c r="G121" s="389"/>
      <c r="H121" s="389"/>
      <c r="I121" s="389"/>
      <c r="J121" s="389"/>
      <c r="K121" s="389"/>
      <c r="L121" s="389"/>
      <c r="M121" s="389"/>
      <c r="N121" s="389"/>
    </row>
    <row r="122" spans="1:14">
      <c r="A122" s="93"/>
      <c r="B122" s="504"/>
      <c r="C122" s="505"/>
      <c r="D122" s="505"/>
      <c r="E122" s="505"/>
      <c r="F122" s="506"/>
      <c r="G122" s="506"/>
      <c r="H122" s="506"/>
      <c r="I122" s="506"/>
    </row>
    <row r="123" spans="1:14">
      <c r="A123" s="92"/>
      <c r="B123" s="958" t="s">
        <v>91</v>
      </c>
      <c r="C123" s="94"/>
      <c r="D123" s="94"/>
      <c r="E123" s="1172" t="b">
        <f>OR((LEFT('RFPR cover'!$C$8,2)=Data!G123),'RFPR cover'!$C$7=Data!G123)</f>
        <v>0</v>
      </c>
      <c r="F123" s="1039">
        <f t="shared" ref="F123:F126" si="23">IF(E123,1,0)</f>
        <v>0</v>
      </c>
      <c r="G123" s="1173" t="str">
        <f>B132</f>
        <v>ED</v>
      </c>
    </row>
    <row r="124" spans="1:14" ht="16.5" customHeight="1">
      <c r="A124" s="92"/>
      <c r="B124" s="539" t="str">
        <f t="shared" ref="B124:B129" si="24">IF(SUM($F$123:$F$129)=0,"",CHOOSE(MATCH(TRUE,$E$123:$E$129,0),B133,B143,B153,B163,E163,B173,E173)&amp;"")</f>
        <v xml:space="preserve">Energy not supplied ODI </v>
      </c>
      <c r="C124" s="94"/>
      <c r="D124" s="94"/>
      <c r="E124" s="1040" t="b">
        <f>OR((LEFT('RFPR cover'!$C$8,2)=Data!G124),'RFPR cover'!$C$7=Data!G124)</f>
        <v>0</v>
      </c>
      <c r="F124" s="1041">
        <f t="shared" si="23"/>
        <v>0</v>
      </c>
      <c r="G124" s="1042" t="str">
        <f>B142</f>
        <v>GD</v>
      </c>
    </row>
    <row r="125" spans="1:14">
      <c r="A125" s="92"/>
      <c r="B125" s="539" t="str">
        <f t="shared" si="24"/>
        <v xml:space="preserve">Insulation And Interruption Gas emissions ODI </v>
      </c>
      <c r="C125" s="94"/>
      <c r="D125" s="94"/>
      <c r="E125" s="1040" t="b">
        <f>OR((LEFT('RFPR cover'!$C$8,2)=Data!G125),'RFPR cover'!$C$7=Data!G125)</f>
        <v>0</v>
      </c>
      <c r="F125" s="1041">
        <f t="shared" si="23"/>
        <v>0</v>
      </c>
      <c r="G125" s="1043" t="str">
        <f>B152</f>
        <v>NGGT (TO)</v>
      </c>
    </row>
    <row r="126" spans="1:14">
      <c r="A126" s="92"/>
      <c r="B126" s="539" t="str">
        <f t="shared" si="24"/>
        <v xml:space="preserve">Timely Connections ODI </v>
      </c>
      <c r="C126" s="94"/>
      <c r="D126" s="94"/>
      <c r="E126" s="1040" t="b">
        <f>OR((LEFT('RFPR cover'!$C$8,2)=Data!G126),'RFPR cover'!$C$7=Data!G126)</f>
        <v>1</v>
      </c>
      <c r="F126" s="1041">
        <f t="shared" si="23"/>
        <v>1</v>
      </c>
      <c r="G126" s="1043" t="str">
        <f>B162</f>
        <v>NGET (TO)</v>
      </c>
    </row>
    <row r="127" spans="1:14">
      <c r="A127" s="92"/>
      <c r="B127" s="539" t="str">
        <f t="shared" si="24"/>
        <v xml:space="preserve">Quality of connections satisfaction survey ODI </v>
      </c>
      <c r="C127" s="94"/>
      <c r="D127" s="94"/>
      <c r="E127" s="1040" t="b">
        <f>OR((LEFT('RFPR cover'!$C$8,2)=Data!G127),'RFPR cover'!$C$7=Data!G127)</f>
        <v>0</v>
      </c>
      <c r="F127" s="1041">
        <f t="shared" ref="F127" si="25">IF(E127,1,0)</f>
        <v>0</v>
      </c>
      <c r="G127" s="1043" t="s">
        <v>28</v>
      </c>
    </row>
    <row r="128" spans="1:14">
      <c r="A128" s="92"/>
      <c r="B128" s="539" t="str">
        <f t="shared" si="24"/>
        <v>SO-TO Optimisation ODI</v>
      </c>
      <c r="C128" s="94"/>
      <c r="D128" s="94"/>
      <c r="E128" s="1040" t="b">
        <f>OR((LEFT('RFPR cover'!$C$8,2)=Data!G128),'RFPR cover'!$C$7=Data!G128)</f>
        <v>0</v>
      </c>
      <c r="F128" s="1041">
        <f>IF(E128,1,0)</f>
        <v>0</v>
      </c>
      <c r="G128" s="1043" t="str">
        <f>B172</f>
        <v>SPT</v>
      </c>
    </row>
    <row r="129" spans="1:7">
      <c r="A129" s="92"/>
      <c r="B129" s="539" t="str">
        <f t="shared" si="24"/>
        <v xml:space="preserve">Environmental scorecard ODI </v>
      </c>
      <c r="C129" s="94"/>
      <c r="D129" s="94"/>
      <c r="E129" s="1044" t="b">
        <f>OR((LEFT('RFPR cover'!$C$8,2)=Data!G129),'RFPR cover'!$C$7=Data!G129)</f>
        <v>0</v>
      </c>
      <c r="F129" s="1045">
        <f>IF(E129,1,0)</f>
        <v>0</v>
      </c>
      <c r="G129" s="1046" t="s">
        <v>46</v>
      </c>
    </row>
    <row r="130" spans="1:7">
      <c r="A130" s="92"/>
      <c r="B130" s="539" t="str">
        <f>IF(SUM($F$123:$F$129)=0,"",CHOOSE(MATCH(TRUE,$E$123:$E$129,0),B139,B149,B159,B169,B179,E179)&amp;"")</f>
        <v/>
      </c>
      <c r="C130" s="94"/>
      <c r="D130" s="94"/>
    </row>
    <row r="131" spans="1:7">
      <c r="A131" s="92"/>
      <c r="B131" s="94"/>
      <c r="C131" s="94"/>
      <c r="D131" s="94"/>
      <c r="E131" s="33"/>
      <c r="F131" s="507"/>
    </row>
    <row r="132" spans="1:7">
      <c r="A132" s="92"/>
      <c r="B132" s="1346" t="s">
        <v>19</v>
      </c>
      <c r="C132" s="1347"/>
      <c r="D132" s="94"/>
      <c r="E132" s="94"/>
    </row>
    <row r="133" spans="1:7">
      <c r="A133" s="92"/>
      <c r="B133" s="1360" t="s">
        <v>92</v>
      </c>
      <c r="C133" s="1361"/>
      <c r="D133" s="94"/>
      <c r="E133" s="94"/>
    </row>
    <row r="134" spans="1:7">
      <c r="A134" s="92"/>
      <c r="B134" s="1356" t="s">
        <v>93</v>
      </c>
      <c r="C134" s="1357"/>
      <c r="D134" s="94"/>
      <c r="E134" s="94"/>
    </row>
    <row r="135" spans="1:7">
      <c r="A135" s="92"/>
      <c r="B135" s="1356" t="s">
        <v>94</v>
      </c>
      <c r="C135" s="1357"/>
      <c r="D135" s="94"/>
      <c r="E135" s="94"/>
    </row>
    <row r="136" spans="1:7">
      <c r="A136" s="92"/>
      <c r="B136" s="1356" t="s">
        <v>95</v>
      </c>
      <c r="C136" s="1357"/>
      <c r="D136" s="94"/>
      <c r="E136" s="94"/>
    </row>
    <row r="137" spans="1:7">
      <c r="A137" s="92"/>
      <c r="B137" s="1356" t="s">
        <v>96</v>
      </c>
      <c r="C137" s="1357"/>
      <c r="D137" s="94"/>
      <c r="E137" s="94"/>
    </row>
    <row r="138" spans="1:7">
      <c r="A138" s="92"/>
      <c r="B138" s="1356"/>
      <c r="C138" s="1357"/>
      <c r="D138" s="94"/>
      <c r="E138" s="94"/>
    </row>
    <row r="139" spans="1:7">
      <c r="A139" s="92"/>
      <c r="B139" s="1358"/>
      <c r="C139" s="1359"/>
      <c r="D139" s="94"/>
      <c r="E139" s="94"/>
    </row>
    <row r="140" spans="1:7">
      <c r="A140" s="92"/>
      <c r="B140" s="94"/>
      <c r="C140" s="94"/>
      <c r="D140" s="94"/>
      <c r="E140" s="94"/>
    </row>
    <row r="141" spans="1:7">
      <c r="A141" s="92"/>
      <c r="B141" s="94"/>
      <c r="C141" s="94"/>
      <c r="D141" s="94"/>
      <c r="E141" s="94"/>
    </row>
    <row r="142" spans="1:7">
      <c r="A142" s="92"/>
      <c r="B142" s="1346" t="s">
        <v>25</v>
      </c>
      <c r="C142" s="1347"/>
      <c r="D142" s="94"/>
      <c r="E142" s="94"/>
    </row>
    <row r="143" spans="1:7">
      <c r="A143" s="92"/>
      <c r="B143" s="1360" t="s">
        <v>97</v>
      </c>
      <c r="C143" s="1361"/>
      <c r="E143" s="94"/>
    </row>
    <row r="144" spans="1:7">
      <c r="A144" s="92"/>
      <c r="B144" s="1356" t="s">
        <v>98</v>
      </c>
      <c r="C144" s="1357"/>
      <c r="D144" s="94"/>
      <c r="E144" s="94"/>
    </row>
    <row r="145" spans="1:9" ht="25.5" customHeight="1">
      <c r="A145" s="92"/>
      <c r="B145" s="1356" t="s">
        <v>99</v>
      </c>
      <c r="C145" s="1357"/>
      <c r="D145" s="94"/>
      <c r="E145" s="94"/>
    </row>
    <row r="146" spans="1:9" ht="25.5" customHeight="1">
      <c r="A146" s="92"/>
      <c r="B146" s="1356" t="s">
        <v>100</v>
      </c>
      <c r="C146" s="1357"/>
      <c r="D146" s="94"/>
      <c r="E146" s="94"/>
    </row>
    <row r="147" spans="1:9" ht="14.25" customHeight="1">
      <c r="A147" s="92"/>
      <c r="B147" s="1356" t="s">
        <v>101</v>
      </c>
      <c r="C147" s="1357"/>
      <c r="D147" s="94"/>
      <c r="E147" s="94"/>
    </row>
    <row r="148" spans="1:9" ht="25.5" customHeight="1">
      <c r="A148" s="92"/>
      <c r="B148" s="1356" t="s">
        <v>102</v>
      </c>
      <c r="C148" s="1357"/>
      <c r="D148" s="94"/>
      <c r="E148" s="94"/>
    </row>
    <row r="149" spans="1:9">
      <c r="A149" s="92"/>
      <c r="B149" s="1358"/>
      <c r="C149" s="1359"/>
      <c r="D149" s="94"/>
      <c r="E149" s="94"/>
    </row>
    <row r="150" spans="1:9">
      <c r="A150" s="92"/>
      <c r="B150" s="94"/>
      <c r="C150" s="94"/>
      <c r="D150" s="94"/>
      <c r="E150" s="94"/>
    </row>
    <row r="151" spans="1:9">
      <c r="A151" s="92"/>
      <c r="B151" s="94"/>
      <c r="C151" s="94"/>
      <c r="D151" s="94"/>
      <c r="E151" s="94"/>
    </row>
    <row r="152" spans="1:9">
      <c r="A152" s="92"/>
      <c r="B152" s="1339" t="s">
        <v>85</v>
      </c>
      <c r="C152" s="1340"/>
      <c r="D152" s="94"/>
      <c r="E152" s="690"/>
      <c r="F152" s="39"/>
      <c r="G152" s="39"/>
      <c r="H152" s="39"/>
      <c r="I152" s="39"/>
    </row>
    <row r="153" spans="1:9">
      <c r="A153" s="92"/>
      <c r="B153" s="1360" t="s">
        <v>103</v>
      </c>
      <c r="C153" s="1361"/>
      <c r="E153" s="503"/>
      <c r="F153" s="503"/>
      <c r="G153" s="503"/>
      <c r="H153" s="503"/>
      <c r="I153" s="503"/>
    </row>
    <row r="154" spans="1:9">
      <c r="A154" s="92"/>
      <c r="B154" s="1356" t="s">
        <v>104</v>
      </c>
      <c r="C154" s="1357"/>
      <c r="E154" s="503"/>
      <c r="F154" s="503"/>
      <c r="G154" s="503"/>
      <c r="H154" s="503"/>
      <c r="I154" s="503"/>
    </row>
    <row r="155" spans="1:9">
      <c r="A155" s="92"/>
      <c r="B155" s="1356"/>
      <c r="C155" s="1357"/>
      <c r="D155" s="94"/>
      <c r="E155" s="503"/>
      <c r="F155" s="503"/>
      <c r="G155" s="503"/>
      <c r="H155" s="503"/>
      <c r="I155" s="503"/>
    </row>
    <row r="156" spans="1:9">
      <c r="A156" s="92"/>
      <c r="B156" s="1356"/>
      <c r="C156" s="1357"/>
      <c r="D156" s="94"/>
      <c r="E156" s="503"/>
      <c r="F156" s="503"/>
      <c r="G156" s="503"/>
      <c r="H156" s="503"/>
      <c r="I156" s="503"/>
    </row>
    <row r="157" spans="1:9">
      <c r="A157" s="92"/>
      <c r="B157" s="1356"/>
      <c r="C157" s="1357"/>
      <c r="D157" s="94"/>
      <c r="E157" s="503"/>
      <c r="F157" s="503"/>
      <c r="G157" s="503"/>
      <c r="H157" s="503"/>
      <c r="I157" s="503"/>
    </row>
    <row r="158" spans="1:9">
      <c r="A158" s="92"/>
      <c r="B158" s="1356"/>
      <c r="C158" s="1357"/>
      <c r="D158" s="94"/>
      <c r="E158" s="503"/>
      <c r="F158" s="503"/>
      <c r="G158" s="503"/>
      <c r="H158" s="503"/>
      <c r="I158" s="503"/>
    </row>
    <row r="159" spans="1:9" ht="12" customHeight="1">
      <c r="A159" s="92"/>
      <c r="B159" s="1358"/>
      <c r="C159" s="1359"/>
      <c r="D159" s="94"/>
      <c r="E159" s="503"/>
      <c r="F159" s="503"/>
      <c r="G159" s="503"/>
      <c r="H159" s="503"/>
      <c r="I159" s="503"/>
    </row>
    <row r="160" spans="1:9">
      <c r="A160" s="92"/>
      <c r="B160" s="94"/>
      <c r="C160" s="94"/>
      <c r="D160" s="94"/>
      <c r="E160" s="94"/>
    </row>
    <row r="161" spans="1:9">
      <c r="A161" s="92"/>
      <c r="B161" s="94"/>
      <c r="C161" s="94"/>
      <c r="D161" s="94"/>
      <c r="E161" s="94"/>
    </row>
    <row r="162" spans="1:9">
      <c r="A162" s="92"/>
      <c r="B162" s="1339" t="s">
        <v>4</v>
      </c>
      <c r="C162" s="1340"/>
      <c r="D162" s="94"/>
      <c r="E162" s="1339" t="s">
        <v>28</v>
      </c>
      <c r="F162" s="1339"/>
      <c r="G162" s="1339"/>
      <c r="H162" s="1340"/>
      <c r="I162" s="39"/>
    </row>
    <row r="163" spans="1:9" ht="13.5" customHeight="1">
      <c r="A163" s="92"/>
      <c r="B163" s="1360" t="s">
        <v>105</v>
      </c>
      <c r="C163" s="1361"/>
      <c r="E163" s="1346" t="s">
        <v>106</v>
      </c>
      <c r="F163" s="1352"/>
      <c r="G163" s="1352"/>
      <c r="H163" s="1353"/>
      <c r="I163" s="503"/>
    </row>
    <row r="164" spans="1:9" ht="12.75" customHeight="1">
      <c r="A164" s="92"/>
      <c r="B164" s="1356" t="s">
        <v>107</v>
      </c>
      <c r="C164" s="1357"/>
      <c r="E164" s="1354"/>
      <c r="F164" s="1354"/>
      <c r="G164" s="1354"/>
      <c r="H164" s="1355"/>
      <c r="I164" s="503"/>
    </row>
    <row r="165" spans="1:9" ht="13.5" customHeight="1">
      <c r="A165" s="92"/>
      <c r="B165" s="1356" t="s">
        <v>108</v>
      </c>
      <c r="C165" s="1357"/>
      <c r="E165" s="1337"/>
      <c r="F165" s="1337"/>
      <c r="G165" s="1337"/>
      <c r="H165" s="1338"/>
      <c r="I165" s="503"/>
    </row>
    <row r="166" spans="1:9" ht="12.75" customHeight="1">
      <c r="A166" s="92"/>
      <c r="B166" s="1356" t="s">
        <v>109</v>
      </c>
      <c r="C166" s="1357"/>
      <c r="E166" s="1337"/>
      <c r="F166" s="1337"/>
      <c r="G166" s="1337"/>
      <c r="H166" s="1338"/>
      <c r="I166" s="503"/>
    </row>
    <row r="167" spans="1:9" ht="13.5" customHeight="1">
      <c r="A167" s="92"/>
      <c r="B167" s="1356" t="s">
        <v>110</v>
      </c>
      <c r="C167" s="1357"/>
      <c r="E167" s="1337"/>
      <c r="F167" s="1337"/>
      <c r="G167" s="1337"/>
      <c r="H167" s="1338"/>
      <c r="I167" s="503"/>
    </row>
    <row r="168" spans="1:9" ht="13.5" customHeight="1">
      <c r="A168" s="92"/>
      <c r="B168" s="1356" t="s">
        <v>111</v>
      </c>
      <c r="C168" s="1357"/>
      <c r="E168" s="1337"/>
      <c r="F168" s="1337"/>
      <c r="G168" s="1337"/>
      <c r="H168" s="1338"/>
      <c r="I168" s="503"/>
    </row>
    <row r="169" spans="1:9">
      <c r="A169" s="92"/>
      <c r="B169" s="1358"/>
      <c r="C169" s="1359"/>
      <c r="D169" s="94"/>
      <c r="E169" s="1351"/>
      <c r="F169" s="1351"/>
      <c r="G169" s="503"/>
      <c r="H169" s="503"/>
      <c r="I169" s="503"/>
    </row>
    <row r="170" spans="1:9" ht="12.75" customHeight="1">
      <c r="A170" s="92"/>
      <c r="B170" s="92"/>
      <c r="C170" s="92"/>
      <c r="D170" s="94"/>
      <c r="E170" s="503"/>
      <c r="F170" s="503"/>
      <c r="G170" s="503"/>
      <c r="H170" s="503"/>
      <c r="I170" s="503"/>
    </row>
    <row r="171" spans="1:9" ht="12.75" customHeight="1">
      <c r="A171" s="92"/>
      <c r="B171" s="92"/>
      <c r="C171" s="92"/>
      <c r="D171" s="94"/>
      <c r="E171" s="503"/>
      <c r="F171" s="503"/>
      <c r="G171" s="503"/>
      <c r="H171" s="503"/>
      <c r="I171" s="503"/>
    </row>
    <row r="172" spans="1:9" ht="12.75" customHeight="1">
      <c r="A172" s="92"/>
      <c r="B172" s="1339" t="s">
        <v>88</v>
      </c>
      <c r="C172" s="1340"/>
      <c r="D172" s="94"/>
      <c r="E172" s="1339" t="s">
        <v>46</v>
      </c>
      <c r="F172" s="1339"/>
      <c r="G172" s="1339"/>
      <c r="H172" s="1340"/>
      <c r="I172" s="693"/>
    </row>
    <row r="173" spans="1:9" ht="12.75" customHeight="1">
      <c r="A173" s="92"/>
      <c r="B173" s="1348" t="s">
        <v>105</v>
      </c>
      <c r="C173" s="1349"/>
      <c r="E173" s="1337" t="s">
        <v>105</v>
      </c>
      <c r="F173" s="1337"/>
      <c r="G173" s="1337"/>
      <c r="H173" s="1338"/>
      <c r="I173" s="503"/>
    </row>
    <row r="174" spans="1:9" ht="12.75" customHeight="1">
      <c r="A174" s="92"/>
      <c r="B174" s="1337" t="s">
        <v>107</v>
      </c>
      <c r="C174" s="1338"/>
      <c r="E174" s="1337" t="s">
        <v>107</v>
      </c>
      <c r="F174" s="1337"/>
      <c r="G174" s="1337"/>
      <c r="H174" s="1338"/>
      <c r="I174" s="503"/>
    </row>
    <row r="175" spans="1:9" ht="12.75" customHeight="1">
      <c r="A175" s="92"/>
      <c r="B175" s="1337" t="s">
        <v>108</v>
      </c>
      <c r="C175" s="1338"/>
      <c r="E175" s="1337" t="s">
        <v>108</v>
      </c>
      <c r="F175" s="1337"/>
      <c r="G175" s="1337"/>
      <c r="H175" s="1338"/>
      <c r="I175" s="503"/>
    </row>
    <row r="176" spans="1:9" ht="12.75" customHeight="1">
      <c r="A176" s="92"/>
      <c r="B176" s="1337" t="s">
        <v>109</v>
      </c>
      <c r="C176" s="1338"/>
      <c r="E176" s="1337" t="s">
        <v>109</v>
      </c>
      <c r="F176" s="1337"/>
      <c r="G176" s="1337"/>
      <c r="H176" s="1338"/>
      <c r="I176" s="503"/>
    </row>
    <row r="177" spans="1:13" ht="12.75" customHeight="1">
      <c r="A177" s="92"/>
      <c r="B177" s="1337" t="s">
        <v>110</v>
      </c>
      <c r="C177" s="1338"/>
      <c r="E177" s="1337" t="s">
        <v>110</v>
      </c>
      <c r="F177" s="1337"/>
      <c r="G177" s="1337"/>
      <c r="H177" s="1338"/>
      <c r="I177" s="503"/>
    </row>
    <row r="178" spans="1:13" ht="12.75" customHeight="1">
      <c r="A178" s="92"/>
      <c r="B178" s="1337" t="s">
        <v>111</v>
      </c>
      <c r="C178" s="1338"/>
      <c r="E178" s="1337" t="s">
        <v>111</v>
      </c>
      <c r="F178" s="1337"/>
      <c r="G178" s="1337"/>
      <c r="H178" s="1338"/>
      <c r="I178" s="503"/>
    </row>
    <row r="179" spans="1:13">
      <c r="A179" s="92"/>
      <c r="B179" s="1341"/>
      <c r="C179" s="1342"/>
      <c r="D179" s="94"/>
      <c r="E179" s="1341"/>
      <c r="F179" s="1341"/>
      <c r="G179" s="1341"/>
      <c r="H179" s="1342"/>
      <c r="I179" s="503"/>
    </row>
    <row r="180" spans="1:13" ht="12.65" customHeight="1">
      <c r="A180" s="92"/>
      <c r="D180" s="94"/>
      <c r="E180" s="94"/>
    </row>
    <row r="181" spans="1:13" ht="12.65" customHeight="1">
      <c r="A181" s="92"/>
      <c r="B181" s="390" t="s">
        <v>112</v>
      </c>
      <c r="C181" s="391"/>
      <c r="D181" s="391"/>
      <c r="E181" s="391"/>
      <c r="F181" s="389"/>
      <c r="G181" s="389"/>
      <c r="H181" s="389"/>
      <c r="I181" s="389"/>
      <c r="J181" s="389"/>
      <c r="K181" s="389"/>
      <c r="L181" s="389"/>
      <c r="M181" s="389"/>
    </row>
    <row r="182" spans="1:13" ht="12.65" customHeight="1">
      <c r="A182" s="92"/>
      <c r="B182" s="504"/>
      <c r="C182" s="505"/>
      <c r="D182" s="505"/>
      <c r="E182" s="505"/>
      <c r="F182" s="506"/>
      <c r="G182" s="506"/>
      <c r="H182" s="506"/>
      <c r="I182" s="506"/>
    </row>
    <row r="183" spans="1:13" ht="12.65" customHeight="1">
      <c r="A183" s="92"/>
      <c r="B183" s="958" t="s">
        <v>113</v>
      </c>
      <c r="C183" s="94"/>
      <c r="D183" s="94"/>
      <c r="E183" s="1172" t="b">
        <f>OR((LEFT('RFPR cover'!$C$8,2)=Data!F183),'RFPR cover'!$C$7=Data!F183)</f>
        <v>0</v>
      </c>
      <c r="F183" s="1173" t="str">
        <f>B194</f>
        <v>ED</v>
      </c>
    </row>
    <row r="184" spans="1:13" ht="19.5" customHeight="1">
      <c r="A184" s="92"/>
      <c r="B184" s="539" t="str">
        <f>CHOOSE(MATCH(TRUE,$E$183:$E$191,0),B195,B206,B217,E217,B228,E228,B239,E239,B250)&amp;""</f>
        <v>Network Innovation Allowance</v>
      </c>
      <c r="C184" s="94"/>
      <c r="D184" s="94"/>
      <c r="E184" s="1040" t="b">
        <f>OR((LEFT('RFPR cover'!$C$8,2)=Data!F184),'RFPR cover'!$C$7=Data!F184)</f>
        <v>0</v>
      </c>
      <c r="F184" s="1042" t="str">
        <f>B205</f>
        <v>GD</v>
      </c>
    </row>
    <row r="185" spans="1:13" ht="22.5" customHeight="1">
      <c r="A185" s="92"/>
      <c r="B185" s="539" t="str">
        <f t="shared" ref="B185:B191" si="26">CHOOSE(MATCH(TRUE,$E$183:$E$191,0),B196,B207,B218,E218,B229,E229,B240,E240,B251)&amp;""</f>
        <v>Carry Over RIIO-1 Network Innovation Allowance</v>
      </c>
      <c r="C185" s="94"/>
      <c r="D185" s="94"/>
      <c r="E185" s="1040" t="b">
        <f>OR((LEFT('RFPR cover'!$C$8,2)=Data!F185),'RFPR cover'!$C$7=Data!F185)</f>
        <v>0</v>
      </c>
      <c r="F185" s="1043" t="str">
        <f>B216</f>
        <v>NGGT (TO)</v>
      </c>
    </row>
    <row r="186" spans="1:13" ht="19.5" customHeight="1">
      <c r="A186" s="92"/>
      <c r="B186" s="539" t="str">
        <f t="shared" si="26"/>
        <v>Strategic Innovation Fund</v>
      </c>
      <c r="C186" s="94"/>
      <c r="D186" s="94"/>
      <c r="E186" s="1040" t="b">
        <f>OR((LEFT('RFPR cover'!$C$8,2)=Data!F186),'RFPR cover'!$C$7=Data!F186)</f>
        <v>0</v>
      </c>
      <c r="F186" s="1043" t="str">
        <f>E216</f>
        <v>NGGT (SO)</v>
      </c>
    </row>
    <row r="187" spans="1:13" ht="19.5" customHeight="1">
      <c r="A187" s="92"/>
      <c r="B187" s="539" t="str">
        <f t="shared" si="26"/>
        <v/>
      </c>
      <c r="C187" s="94"/>
      <c r="D187" s="94"/>
      <c r="E187" s="1040" t="b">
        <f>OR((LEFT('RFPR cover'!$C$8,2)=Data!F187),'RFPR cover'!$C$7=Data!F187)</f>
        <v>0</v>
      </c>
      <c r="F187" s="1043" t="str">
        <f>B227</f>
        <v>NGGT (TO+SO)</v>
      </c>
    </row>
    <row r="188" spans="1:13" ht="19.5" customHeight="1">
      <c r="A188" s="92"/>
      <c r="B188" s="539" t="str">
        <f t="shared" si="26"/>
        <v/>
      </c>
      <c r="C188" s="94"/>
      <c r="D188" s="94"/>
      <c r="E188" s="1040" t="b">
        <f>OR((LEFT('RFPR cover'!$C$8,2)=Data!F188),'RFPR cover'!$C$7=Data!F188)</f>
        <v>1</v>
      </c>
      <c r="F188" s="1043" t="str">
        <f>E227</f>
        <v>NGET (TO)</v>
      </c>
    </row>
    <row r="189" spans="1:13" ht="19.5" customHeight="1">
      <c r="A189" s="92"/>
      <c r="B189" s="539" t="str">
        <f t="shared" si="26"/>
        <v/>
      </c>
      <c r="C189" s="94"/>
      <c r="D189" s="94"/>
      <c r="E189" s="1040" t="b">
        <f>OR((LEFT('RFPR cover'!$C$8,2)=Data!F189),'RFPR cover'!$C$7=Data!F189)</f>
        <v>0</v>
      </c>
      <c r="F189" s="1043" t="str">
        <f>B238</f>
        <v>ESO</v>
      </c>
    </row>
    <row r="190" spans="1:13" ht="19.5" customHeight="1">
      <c r="A190" s="92"/>
      <c r="B190" s="539" t="str">
        <f t="shared" si="26"/>
        <v/>
      </c>
      <c r="C190" s="94"/>
      <c r="D190" s="94"/>
      <c r="E190" s="1040" t="b">
        <f>OR((LEFT('RFPR cover'!$C$8,2)=Data!F190),'RFPR cover'!$C$7=Data!F190)</f>
        <v>0</v>
      </c>
      <c r="F190" s="1043" t="str">
        <f>E238</f>
        <v>SPT</v>
      </c>
    </row>
    <row r="191" spans="1:13" ht="19.5" customHeight="1">
      <c r="A191" s="92"/>
      <c r="B191" s="539" t="str">
        <f t="shared" si="26"/>
        <v/>
      </c>
      <c r="C191" s="94"/>
      <c r="D191" s="94"/>
      <c r="E191" s="1044" t="b">
        <f>OR((LEFT('RFPR cover'!$C$8,2)=Data!F191),'RFPR cover'!$C$7=Data!F191)</f>
        <v>0</v>
      </c>
      <c r="F191" s="1046" t="str">
        <f>B249</f>
        <v>SHET</v>
      </c>
      <c r="G191" s="94"/>
      <c r="H191" s="94"/>
      <c r="I191" s="94"/>
    </row>
    <row r="192" spans="1:13" ht="12.75" customHeight="1">
      <c r="A192" s="92"/>
      <c r="B192" s="94"/>
      <c r="C192" s="94"/>
      <c r="D192" s="94"/>
      <c r="E192" s="33"/>
      <c r="F192" s="507"/>
    </row>
    <row r="193" spans="1:6" ht="12.75" customHeight="1">
      <c r="A193" s="92"/>
      <c r="B193" s="691"/>
      <c r="C193" s="691"/>
      <c r="D193" s="94"/>
      <c r="E193" s="33"/>
      <c r="F193" s="507"/>
    </row>
    <row r="194" spans="1:6" ht="12.75" customHeight="1">
      <c r="A194" s="92"/>
      <c r="B194" s="1365" t="s">
        <v>19</v>
      </c>
      <c r="C194" s="1366"/>
      <c r="D194" s="94"/>
      <c r="E194" s="94"/>
    </row>
    <row r="195" spans="1:6" ht="12.75" customHeight="1">
      <c r="A195" s="92"/>
      <c r="B195" s="1348"/>
      <c r="C195" s="1349"/>
      <c r="D195" s="94"/>
      <c r="E195" s="94"/>
    </row>
    <row r="196" spans="1:6" ht="12.75" customHeight="1">
      <c r="A196" s="92"/>
      <c r="B196" s="1337"/>
      <c r="C196" s="1338"/>
      <c r="D196" s="94"/>
      <c r="E196" s="94"/>
    </row>
    <row r="197" spans="1:6" ht="12.75" customHeight="1">
      <c r="A197" s="92"/>
      <c r="B197" s="1337"/>
      <c r="C197" s="1338"/>
      <c r="D197" s="94"/>
      <c r="E197" s="94"/>
    </row>
    <row r="198" spans="1:6" ht="12.75" customHeight="1">
      <c r="A198" s="92"/>
      <c r="B198" s="1337"/>
      <c r="C198" s="1338"/>
      <c r="D198" s="94"/>
      <c r="E198" s="94"/>
    </row>
    <row r="199" spans="1:6" ht="12.75" customHeight="1">
      <c r="A199" s="92"/>
      <c r="B199" s="1337"/>
      <c r="C199" s="1338"/>
      <c r="D199" s="94"/>
      <c r="E199" s="94"/>
    </row>
    <row r="200" spans="1:6" ht="12.75" customHeight="1">
      <c r="A200" s="92"/>
      <c r="B200" s="1337"/>
      <c r="C200" s="1338"/>
      <c r="D200" s="94"/>
      <c r="E200" s="94"/>
    </row>
    <row r="201" spans="1:6">
      <c r="A201" s="92"/>
      <c r="B201" s="1337"/>
      <c r="C201" s="1338"/>
      <c r="D201" s="94"/>
      <c r="E201" s="94"/>
    </row>
    <row r="202" spans="1:6" ht="12.75" customHeight="1">
      <c r="A202" s="92"/>
      <c r="B202" s="1341"/>
      <c r="C202" s="1342"/>
      <c r="D202" s="94"/>
      <c r="E202" s="94"/>
    </row>
    <row r="203" spans="1:6" ht="12.75" customHeight="1">
      <c r="A203" s="92"/>
      <c r="B203" s="94"/>
      <c r="C203" s="94"/>
      <c r="D203" s="94"/>
      <c r="E203" s="94"/>
    </row>
    <row r="204" spans="1:6" ht="12.75" customHeight="1">
      <c r="A204" s="92"/>
      <c r="B204" s="94"/>
      <c r="C204" s="94"/>
      <c r="D204" s="94"/>
      <c r="E204" s="94"/>
    </row>
    <row r="205" spans="1:6" ht="12.75" customHeight="1">
      <c r="A205" s="92"/>
      <c r="B205" s="1346" t="s">
        <v>25</v>
      </c>
      <c r="C205" s="1347"/>
      <c r="D205" s="94"/>
      <c r="E205" s="94"/>
    </row>
    <row r="206" spans="1:6" ht="12.75" customHeight="1">
      <c r="A206" s="92"/>
      <c r="B206" s="1348" t="s">
        <v>114</v>
      </c>
      <c r="C206" s="1349"/>
      <c r="E206" s="94"/>
    </row>
    <row r="207" spans="1:6" ht="12.75" customHeight="1">
      <c r="A207" s="92"/>
      <c r="B207" s="1337" t="s">
        <v>115</v>
      </c>
      <c r="C207" s="1338"/>
      <c r="D207" s="94"/>
      <c r="E207" s="94"/>
    </row>
    <row r="208" spans="1:6" ht="12.75" customHeight="1">
      <c r="A208" s="92"/>
      <c r="B208" s="1337"/>
      <c r="C208" s="1338"/>
      <c r="D208" s="94"/>
      <c r="E208" s="94"/>
    </row>
    <row r="209" spans="1:9" ht="12.75" customHeight="1">
      <c r="A209" s="92"/>
      <c r="B209" s="1337"/>
      <c r="C209" s="1338"/>
      <c r="D209" s="94"/>
      <c r="E209" s="94"/>
    </row>
    <row r="210" spans="1:9">
      <c r="A210" s="92"/>
      <c r="B210" s="1337"/>
      <c r="C210" s="1338"/>
      <c r="D210" s="94"/>
      <c r="E210" s="94"/>
    </row>
    <row r="211" spans="1:9">
      <c r="A211" s="92"/>
      <c r="B211" s="1337"/>
      <c r="C211" s="1338"/>
      <c r="D211" s="94"/>
      <c r="E211" s="94"/>
    </row>
    <row r="212" spans="1:9" ht="12.75" customHeight="1">
      <c r="A212" s="92"/>
      <c r="B212" s="1337"/>
      <c r="C212" s="1338"/>
      <c r="D212" s="94"/>
      <c r="E212" s="94"/>
    </row>
    <row r="213" spans="1:9">
      <c r="A213" s="92"/>
      <c r="B213" s="1341"/>
      <c r="C213" s="1342"/>
      <c r="D213" s="94"/>
      <c r="E213" s="94"/>
    </row>
    <row r="214" spans="1:9">
      <c r="A214" s="92"/>
      <c r="B214" s="94"/>
      <c r="C214" s="94"/>
      <c r="D214" s="94"/>
      <c r="E214" s="94"/>
    </row>
    <row r="215" spans="1:9">
      <c r="A215" s="92"/>
      <c r="B215" s="94"/>
      <c r="C215" s="94"/>
      <c r="D215" s="94"/>
      <c r="E215" s="94"/>
    </row>
    <row r="216" spans="1:9">
      <c r="A216" s="92"/>
      <c r="B216" s="853" t="str">
        <f>B77</f>
        <v>NGGT (TO)</v>
      </c>
      <c r="C216" s="808"/>
      <c r="D216" s="94"/>
      <c r="E216" s="1339" t="str">
        <f>B78</f>
        <v>NGGT (SO)</v>
      </c>
      <c r="F216" s="1339"/>
      <c r="G216" s="1339"/>
      <c r="H216" s="1339"/>
      <c r="I216" s="1340"/>
    </row>
    <row r="217" spans="1:9">
      <c r="A217" s="92"/>
      <c r="B217" s="1348" t="s">
        <v>116</v>
      </c>
      <c r="C217" s="1349"/>
      <c r="E217" s="1367"/>
      <c r="F217" s="1368"/>
      <c r="G217" s="1368"/>
      <c r="H217" s="1368"/>
      <c r="I217" s="1369"/>
    </row>
    <row r="218" spans="1:9" ht="25.5" customHeight="1">
      <c r="A218" s="92"/>
      <c r="B218" s="1337" t="s">
        <v>117</v>
      </c>
      <c r="C218" s="1338"/>
      <c r="E218" s="1367"/>
      <c r="F218" s="1368"/>
      <c r="G218" s="1368"/>
      <c r="H218" s="1368"/>
      <c r="I218" s="1369"/>
    </row>
    <row r="219" spans="1:9" ht="13.5" customHeight="1">
      <c r="A219" s="92"/>
      <c r="B219" s="1337" t="s">
        <v>118</v>
      </c>
      <c r="C219" s="1338"/>
      <c r="D219" s="94"/>
      <c r="E219" s="1367"/>
      <c r="F219" s="1368"/>
      <c r="G219" s="1368"/>
      <c r="H219" s="1368"/>
      <c r="I219" s="1369"/>
    </row>
    <row r="220" spans="1:9" ht="13.5" customHeight="1">
      <c r="A220" s="92"/>
      <c r="B220" s="1337"/>
      <c r="C220" s="1338"/>
      <c r="D220" s="94"/>
      <c r="E220" s="1343" t="s">
        <v>119</v>
      </c>
      <c r="F220" s="1344"/>
      <c r="G220" s="1344"/>
      <c r="H220" s="1344"/>
      <c r="I220" s="1345"/>
    </row>
    <row r="221" spans="1:9" ht="13.5" customHeight="1">
      <c r="A221" s="92"/>
      <c r="B221" s="854"/>
      <c r="C221" s="809"/>
      <c r="D221" s="94"/>
      <c r="E221" s="1343" t="s">
        <v>120</v>
      </c>
      <c r="F221" s="1344"/>
      <c r="G221" s="1344"/>
      <c r="H221" s="1344"/>
      <c r="I221" s="1345"/>
    </row>
    <row r="222" spans="1:9" ht="13.5" customHeight="1">
      <c r="A222" s="92"/>
      <c r="B222" s="1337"/>
      <c r="C222" s="1338"/>
      <c r="D222" s="94"/>
      <c r="E222" s="1343" t="s">
        <v>121</v>
      </c>
      <c r="F222" s="1344"/>
      <c r="G222" s="1344"/>
      <c r="H222" s="1344"/>
      <c r="I222" s="1345"/>
    </row>
    <row r="223" spans="1:9" ht="13.5" customHeight="1">
      <c r="A223" s="92"/>
      <c r="B223" s="1337"/>
      <c r="C223" s="1338"/>
      <c r="D223" s="94"/>
      <c r="E223" s="1371" t="s">
        <v>122</v>
      </c>
      <c r="F223" s="1372"/>
      <c r="G223" s="1372"/>
      <c r="H223" s="1372"/>
      <c r="I223" s="1373"/>
    </row>
    <row r="224" spans="1:9" ht="12.75" customHeight="1">
      <c r="A224" s="92"/>
      <c r="B224" s="1341"/>
      <c r="C224" s="1342"/>
      <c r="D224" s="94"/>
      <c r="E224" s="1374" t="s">
        <v>123</v>
      </c>
      <c r="F224" s="1375"/>
      <c r="G224" s="1375"/>
      <c r="H224" s="1375"/>
      <c r="I224" s="1376"/>
    </row>
    <row r="225" spans="1:9">
      <c r="A225" s="92"/>
      <c r="B225" s="94"/>
      <c r="C225" s="94"/>
      <c r="D225" s="94"/>
      <c r="E225" s="94"/>
    </row>
    <row r="226" spans="1:9" ht="12.75" customHeight="1">
      <c r="A226" s="92"/>
      <c r="B226" s="94"/>
      <c r="C226" s="94"/>
      <c r="D226" s="94"/>
      <c r="E226" s="94"/>
    </row>
    <row r="227" spans="1:9">
      <c r="A227" s="92"/>
      <c r="B227" s="1339" t="s">
        <v>87</v>
      </c>
      <c r="C227" s="1340"/>
      <c r="D227" s="94"/>
      <c r="E227" s="1339" t="s">
        <v>4</v>
      </c>
      <c r="F227" s="1339"/>
      <c r="G227" s="1339"/>
      <c r="H227" s="1339"/>
      <c r="I227" s="1340"/>
    </row>
    <row r="228" spans="1:9" ht="12.75" customHeight="1">
      <c r="A228" s="92"/>
      <c r="B228" s="1348" t="s">
        <v>116</v>
      </c>
      <c r="C228" s="1349"/>
      <c r="E228" s="1348" t="s">
        <v>116</v>
      </c>
      <c r="F228" s="1348"/>
      <c r="G228" s="1348"/>
      <c r="H228" s="1348"/>
      <c r="I228" s="1349"/>
    </row>
    <row r="229" spans="1:9" ht="12.75" customHeight="1">
      <c r="A229" s="92"/>
      <c r="B229" s="1337" t="s">
        <v>117</v>
      </c>
      <c r="C229" s="1338"/>
      <c r="E229" s="1337" t="s">
        <v>117</v>
      </c>
      <c r="F229" s="1337"/>
      <c r="G229" s="1337"/>
      <c r="H229" s="1337"/>
      <c r="I229" s="1338"/>
    </row>
    <row r="230" spans="1:9" ht="12.75" customHeight="1">
      <c r="A230" s="92"/>
      <c r="B230" s="1337" t="s">
        <v>118</v>
      </c>
      <c r="C230" s="1338"/>
      <c r="E230" s="1337" t="s">
        <v>118</v>
      </c>
      <c r="F230" s="1337"/>
      <c r="G230" s="1337"/>
      <c r="H230" s="1337"/>
      <c r="I230" s="1338"/>
    </row>
    <row r="231" spans="1:9" ht="24" customHeight="1">
      <c r="A231" s="92"/>
      <c r="B231" s="1337" t="s">
        <v>119</v>
      </c>
      <c r="C231" s="1338"/>
      <c r="E231" s="1337"/>
      <c r="F231" s="1337"/>
      <c r="G231" s="1337"/>
      <c r="H231" s="1337"/>
      <c r="I231" s="1338"/>
    </row>
    <row r="232" spans="1:9">
      <c r="A232" s="92"/>
      <c r="B232" s="1337" t="s">
        <v>120</v>
      </c>
      <c r="C232" s="1338"/>
      <c r="E232" s="1337"/>
      <c r="F232" s="1337"/>
      <c r="G232" s="1337"/>
      <c r="H232" s="1337"/>
      <c r="I232" s="1338"/>
    </row>
    <row r="233" spans="1:9">
      <c r="A233" s="92"/>
      <c r="B233" s="1337" t="s">
        <v>121</v>
      </c>
      <c r="C233" s="1338"/>
      <c r="E233" s="1337"/>
      <c r="F233" s="1337"/>
      <c r="G233" s="1337"/>
      <c r="H233" s="1337"/>
      <c r="I233" s="1338"/>
    </row>
    <row r="234" spans="1:9" ht="12.75" customHeight="1">
      <c r="A234" s="92"/>
      <c r="B234" s="1337" t="s">
        <v>122</v>
      </c>
      <c r="C234" s="1338"/>
      <c r="E234" s="1337"/>
      <c r="F234" s="1337"/>
      <c r="G234" s="1337"/>
      <c r="H234" s="1337"/>
      <c r="I234" s="1338"/>
    </row>
    <row r="235" spans="1:9" ht="12.75" customHeight="1">
      <c r="A235" s="92"/>
      <c r="B235" s="1341" t="s">
        <v>123</v>
      </c>
      <c r="C235" s="1342"/>
      <c r="D235" s="94"/>
      <c r="E235" s="1341"/>
      <c r="F235" s="1341"/>
      <c r="G235" s="1341"/>
      <c r="H235" s="1341"/>
      <c r="I235" s="1342"/>
    </row>
    <row r="236" spans="1:9" ht="12.75" customHeight="1">
      <c r="A236" s="92"/>
      <c r="B236" s="92"/>
      <c r="C236" s="92"/>
      <c r="D236" s="94"/>
      <c r="E236" s="503"/>
      <c r="F236" s="503"/>
      <c r="G236" s="503"/>
      <c r="H236" s="503"/>
      <c r="I236" s="503"/>
    </row>
    <row r="237" spans="1:9" ht="12.75" customHeight="1">
      <c r="A237" s="92"/>
      <c r="B237" s="92"/>
      <c r="C237" s="92"/>
      <c r="D237" s="94"/>
      <c r="E237" s="503"/>
      <c r="F237" s="503"/>
      <c r="G237" s="503"/>
      <c r="H237" s="503"/>
      <c r="I237" s="503"/>
    </row>
    <row r="238" spans="1:9" ht="12.75" customHeight="1">
      <c r="A238" s="92"/>
      <c r="B238" s="1339" t="s">
        <v>28</v>
      </c>
      <c r="C238" s="1340"/>
      <c r="D238" s="94"/>
      <c r="E238" s="1339" t="s">
        <v>88</v>
      </c>
      <c r="F238" s="1339"/>
      <c r="G238" s="1339"/>
      <c r="H238" s="1339"/>
      <c r="I238" s="1340"/>
    </row>
    <row r="239" spans="1:9" ht="12.75" customHeight="1">
      <c r="A239" s="92"/>
      <c r="B239" s="1348" t="s">
        <v>114</v>
      </c>
      <c r="C239" s="1349"/>
      <c r="E239" s="1348" t="s">
        <v>114</v>
      </c>
      <c r="F239" s="1348"/>
      <c r="G239" s="1348"/>
      <c r="H239" s="1348"/>
      <c r="I239" s="1349"/>
    </row>
    <row r="240" spans="1:9" ht="25.5" customHeight="1">
      <c r="A240" s="92"/>
      <c r="B240" s="1337" t="s">
        <v>115</v>
      </c>
      <c r="C240" s="1338"/>
      <c r="E240" s="1337" t="s">
        <v>115</v>
      </c>
      <c r="F240" s="1337"/>
      <c r="G240" s="1337"/>
      <c r="H240" s="1337"/>
      <c r="I240" s="1338"/>
    </row>
    <row r="241" spans="1:9" ht="25.5" customHeight="1">
      <c r="A241" s="92"/>
      <c r="B241" s="1337"/>
      <c r="C241" s="1338"/>
      <c r="E241" s="1337"/>
      <c r="F241" s="1337"/>
      <c r="G241" s="1337"/>
      <c r="H241" s="1337"/>
      <c r="I241" s="1338"/>
    </row>
    <row r="242" spans="1:9" ht="25.5" customHeight="1">
      <c r="A242" s="92"/>
      <c r="B242" s="1337"/>
      <c r="C242" s="1338"/>
      <c r="E242" s="1337"/>
      <c r="F242" s="1337"/>
      <c r="G242" s="1337"/>
      <c r="H242" s="1337"/>
      <c r="I242" s="1338"/>
    </row>
    <row r="243" spans="1:9" ht="25.5" customHeight="1">
      <c r="A243" s="92"/>
      <c r="B243" s="1337"/>
      <c r="C243" s="1338"/>
      <c r="E243" s="1337"/>
      <c r="F243" s="1337"/>
      <c r="G243" s="1337"/>
      <c r="H243" s="1337"/>
      <c r="I243" s="1338"/>
    </row>
    <row r="244" spans="1:9" ht="25.5" customHeight="1">
      <c r="A244" s="92"/>
      <c r="B244" s="1337"/>
      <c r="C244" s="1338"/>
      <c r="E244" s="1337"/>
      <c r="F244" s="1337"/>
      <c r="G244" s="1337"/>
      <c r="H244" s="1337"/>
      <c r="I244" s="1338"/>
    </row>
    <row r="245" spans="1:9">
      <c r="A245" s="92"/>
      <c r="B245" s="1337"/>
      <c r="C245" s="1338"/>
      <c r="E245" s="1337"/>
      <c r="F245" s="1337"/>
      <c r="G245" s="1337"/>
      <c r="H245" s="1337"/>
      <c r="I245" s="1338"/>
    </row>
    <row r="246" spans="1:9">
      <c r="A246" s="92"/>
      <c r="B246" s="1341"/>
      <c r="C246" s="1342"/>
      <c r="D246" s="94"/>
      <c r="E246" s="1341"/>
      <c r="F246" s="1341"/>
      <c r="G246" s="1341"/>
      <c r="H246" s="1341"/>
      <c r="I246" s="1342"/>
    </row>
    <row r="247" spans="1:9">
      <c r="A247" s="92"/>
      <c r="D247" s="94"/>
      <c r="E247" s="94"/>
    </row>
    <row r="248" spans="1:9">
      <c r="A248" s="92"/>
      <c r="D248" s="94"/>
      <c r="E248" s="94"/>
    </row>
    <row r="249" spans="1:9">
      <c r="A249" s="92"/>
      <c r="B249" s="1339" t="s">
        <v>46</v>
      </c>
      <c r="C249" s="1340"/>
      <c r="D249" s="94"/>
      <c r="E249" s="94"/>
    </row>
    <row r="250" spans="1:9">
      <c r="A250" s="92"/>
      <c r="B250" s="1337" t="s">
        <v>114</v>
      </c>
      <c r="C250" s="1338"/>
      <c r="D250" s="1350"/>
      <c r="E250" s="1350"/>
    </row>
    <row r="251" spans="1:9">
      <c r="A251" s="92"/>
      <c r="B251" s="1337" t="s">
        <v>115</v>
      </c>
      <c r="C251" s="1338"/>
      <c r="D251" s="1350"/>
      <c r="E251" s="1350"/>
    </row>
    <row r="252" spans="1:9">
      <c r="A252" s="92"/>
      <c r="B252" s="1337"/>
      <c r="C252" s="1338"/>
      <c r="D252" s="94"/>
      <c r="E252" s="94"/>
    </row>
    <row r="253" spans="1:9">
      <c r="A253" s="92"/>
      <c r="B253" s="1337"/>
      <c r="C253" s="1338"/>
      <c r="D253" s="94"/>
      <c r="E253" s="94"/>
    </row>
    <row r="254" spans="1:9">
      <c r="A254" s="92"/>
      <c r="B254" s="1337"/>
      <c r="C254" s="1338"/>
      <c r="D254" s="94"/>
      <c r="E254" s="94"/>
    </row>
    <row r="255" spans="1:9">
      <c r="A255" s="92"/>
      <c r="B255" s="1337"/>
      <c r="C255" s="1338"/>
      <c r="D255" s="94"/>
      <c r="E255" s="94"/>
    </row>
    <row r="256" spans="1:9">
      <c r="A256" s="92"/>
      <c r="B256" s="1337"/>
      <c r="C256" s="1338"/>
      <c r="D256" s="94"/>
      <c r="E256" s="94"/>
    </row>
    <row r="257" spans="1:14">
      <c r="A257" s="92"/>
      <c r="B257" s="1341"/>
      <c r="C257" s="1342"/>
      <c r="D257" s="94"/>
      <c r="E257" s="94"/>
    </row>
    <row r="258" spans="1:14">
      <c r="A258" s="92"/>
      <c r="D258" s="94"/>
      <c r="E258" s="94"/>
    </row>
    <row r="259" spans="1:14">
      <c r="A259" s="92"/>
      <c r="D259" s="94"/>
      <c r="E259" s="94"/>
    </row>
    <row r="260" spans="1:14">
      <c r="A260" s="92"/>
      <c r="D260" s="94"/>
      <c r="E260" s="94"/>
    </row>
    <row r="261" spans="1:14">
      <c r="A261" s="92"/>
      <c r="D261" s="94"/>
      <c r="E261" s="94"/>
    </row>
    <row r="262" spans="1:14">
      <c r="A262" s="92"/>
      <c r="D262" s="94"/>
      <c r="E262" s="94"/>
    </row>
    <row r="263" spans="1:14">
      <c r="A263" s="92"/>
      <c r="D263" s="94"/>
      <c r="E263" s="94"/>
    </row>
    <row r="264" spans="1:14">
      <c r="A264" s="92"/>
      <c r="B264" s="1370" t="s">
        <v>124</v>
      </c>
      <c r="C264" s="1370"/>
      <c r="D264" s="1370"/>
      <c r="E264" s="1370"/>
      <c r="F264" s="1370"/>
      <c r="G264" s="1370"/>
      <c r="H264" s="1370"/>
      <c r="I264" s="99"/>
      <c r="J264" s="99"/>
      <c r="K264" s="99"/>
      <c r="L264" s="99"/>
      <c r="M264" s="99"/>
      <c r="N264" s="99"/>
    </row>
    <row r="265" spans="1:14">
      <c r="A265" s="92"/>
      <c r="B265" s="94"/>
      <c r="C265" s="94"/>
      <c r="D265" s="94"/>
      <c r="E265" s="94"/>
    </row>
    <row r="266" spans="1:14">
      <c r="B266" s="34"/>
    </row>
    <row r="267" spans="1:14">
      <c r="B267" s="959" t="s">
        <v>125</v>
      </c>
    </row>
    <row r="268" spans="1:14">
      <c r="B268" s="701" t="s">
        <v>126</v>
      </c>
    </row>
    <row r="269" spans="1:14">
      <c r="B269" s="702" t="s">
        <v>127</v>
      </c>
    </row>
    <row r="270" spans="1:14">
      <c r="B270" s="703" t="s">
        <v>128</v>
      </c>
    </row>
    <row r="271" spans="1:14">
      <c r="B271" s="704"/>
    </row>
    <row r="272" spans="1:14">
      <c r="B272" s="89"/>
    </row>
    <row r="273" spans="2:2">
      <c r="B273" s="959" t="s">
        <v>129</v>
      </c>
    </row>
    <row r="274" spans="2:2" ht="12.75" customHeight="1">
      <c r="B274" s="705" t="s">
        <v>130</v>
      </c>
    </row>
    <row r="275" spans="2:2" ht="13.5" customHeight="1">
      <c r="B275" s="702" t="s">
        <v>131</v>
      </c>
    </row>
    <row r="276" spans="2:2" ht="13.5" customHeight="1">
      <c r="B276" s="702" t="s">
        <v>132</v>
      </c>
    </row>
    <row r="277" spans="2:2">
      <c r="B277" s="702" t="s">
        <v>133</v>
      </c>
    </row>
    <row r="278" spans="2:2" ht="13.5" customHeight="1">
      <c r="B278" s="702" t="s">
        <v>134</v>
      </c>
    </row>
    <row r="279" spans="2:2">
      <c r="B279" s="702" t="s">
        <v>135</v>
      </c>
    </row>
    <row r="280" spans="2:2">
      <c r="B280" s="702" t="s">
        <v>136</v>
      </c>
    </row>
    <row r="281" spans="2:2">
      <c r="B281" s="702"/>
    </row>
    <row r="282" spans="2:2">
      <c r="B282" s="704"/>
    </row>
    <row r="283" spans="2:2" ht="13.5" customHeight="1">
      <c r="B283" s="89"/>
    </row>
    <row r="284" spans="2:2" ht="13.5" customHeight="1">
      <c r="B284" s="959" t="s">
        <v>137</v>
      </c>
    </row>
    <row r="285" spans="2:2" ht="13.5" customHeight="1">
      <c r="B285" s="705" t="s">
        <v>138</v>
      </c>
    </row>
    <row r="286" spans="2:2">
      <c r="B286" s="702" t="s">
        <v>139</v>
      </c>
    </row>
    <row r="287" spans="2:2">
      <c r="B287" s="702" t="s">
        <v>140</v>
      </c>
    </row>
    <row r="288" spans="2:2">
      <c r="B288" s="702" t="s">
        <v>141</v>
      </c>
    </row>
    <row r="289" spans="2:2">
      <c r="B289" s="702" t="s">
        <v>142</v>
      </c>
    </row>
    <row r="290" spans="2:2">
      <c r="B290" s="704"/>
    </row>
    <row r="291" spans="2:2">
      <c r="B291" s="89"/>
    </row>
    <row r="292" spans="2:2">
      <c r="B292" s="959" t="s">
        <v>143</v>
      </c>
    </row>
    <row r="293" spans="2:2" ht="12.75" customHeight="1">
      <c r="B293" s="705" t="s">
        <v>144</v>
      </c>
    </row>
    <row r="294" spans="2:2" ht="12.75" customHeight="1">
      <c r="B294" s="702" t="s">
        <v>145</v>
      </c>
    </row>
    <row r="295" spans="2:2" ht="12.75" customHeight="1">
      <c r="B295" s="704"/>
    </row>
    <row r="296" spans="2:2" ht="12.75" customHeight="1">
      <c r="B296" s="89"/>
    </row>
    <row r="297" spans="2:2">
      <c r="B297" s="959" t="s">
        <v>146</v>
      </c>
    </row>
    <row r="298" spans="2:2">
      <c r="B298" s="705" t="s">
        <v>147</v>
      </c>
    </row>
    <row r="299" spans="2:2">
      <c r="B299" s="702" t="s">
        <v>148</v>
      </c>
    </row>
    <row r="300" spans="2:2">
      <c r="B300" s="704" t="s">
        <v>149</v>
      </c>
    </row>
    <row r="301" spans="2:2">
      <c r="B301" s="89"/>
    </row>
    <row r="302" spans="2:2">
      <c r="B302" s="959" t="s">
        <v>150</v>
      </c>
    </row>
    <row r="303" spans="2:2" ht="12.75" customHeight="1">
      <c r="B303" s="705" t="s">
        <v>151</v>
      </c>
    </row>
    <row r="304" spans="2:2" ht="13.5" customHeight="1">
      <c r="B304" s="702" t="s">
        <v>152</v>
      </c>
    </row>
    <row r="305" spans="2:2" ht="12.75" customHeight="1">
      <c r="B305" s="702"/>
    </row>
    <row r="306" spans="2:2" ht="12.75" customHeight="1">
      <c r="B306" s="704"/>
    </row>
    <row r="307" spans="2:2" ht="12.75" customHeight="1">
      <c r="B307" s="89"/>
    </row>
    <row r="308" spans="2:2">
      <c r="B308" s="959" t="s">
        <v>153</v>
      </c>
    </row>
    <row r="309" spans="2:2">
      <c r="B309" s="705" t="s">
        <v>154</v>
      </c>
    </row>
    <row r="310" spans="2:2">
      <c r="B310" s="702" t="s">
        <v>155</v>
      </c>
    </row>
    <row r="311" spans="2:2">
      <c r="B311" s="702"/>
    </row>
    <row r="312" spans="2:2">
      <c r="B312" s="704"/>
    </row>
    <row r="313" spans="2:2">
      <c r="B313" s="89"/>
    </row>
    <row r="314" spans="2:2">
      <c r="B314" s="959" t="s">
        <v>156</v>
      </c>
    </row>
    <row r="315" spans="2:2">
      <c r="B315" s="705" t="s">
        <v>126</v>
      </c>
    </row>
    <row r="316" spans="2:2">
      <c r="B316" s="702" t="s">
        <v>127</v>
      </c>
    </row>
    <row r="317" spans="2:2" ht="12.75" customHeight="1">
      <c r="B317" s="704"/>
    </row>
  </sheetData>
  <sheetProtection algorithmName="SHA-512" hashValue="FpHFCZxqJhwUxlhJxoQqAeH19Hvtt8BONdvISHSVqlWbKgy5lO+DV7R8etIZKeicYMLuWHoKOtbVPDTIvTWwYQ==" saltValue="f2GyEnNpgebGLCt+PeUxyw==" spinCount="100000" sheet="1" formatCells="0" formatColumns="0" formatRows="0" insertColumns="0" insertRows="0" insertHyperlinks="0" deleteColumns="0" deleteRows="0" sort="0" autoFilter="0" pivotTables="0"/>
  <mergeCells count="140">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 ref="B210:C210"/>
    <mergeCell ref="E238:I238"/>
    <mergeCell ref="E235:I235"/>
    <mergeCell ref="B229:C229"/>
    <mergeCell ref="E217:I217"/>
    <mergeCell ref="E218:I218"/>
    <mergeCell ref="E219:I219"/>
    <mergeCell ref="E216:I216"/>
    <mergeCell ref="B217:C217"/>
    <mergeCell ref="B218:C218"/>
    <mergeCell ref="B219:C219"/>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B174:C174"/>
    <mergeCell ref="B175:C175"/>
    <mergeCell ref="B176:C176"/>
    <mergeCell ref="B178:C178"/>
    <mergeCell ref="B179:C179"/>
    <mergeCell ref="E169:F169"/>
    <mergeCell ref="E163:H163"/>
    <mergeCell ref="E164:H164"/>
    <mergeCell ref="E165:H165"/>
    <mergeCell ref="E166:H166"/>
    <mergeCell ref="E167:H167"/>
    <mergeCell ref="E168:H16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s>
  <conditionalFormatting sqref="H53">
    <cfRule type="expression" dxfId="94" priority="15">
      <formula>AND(#REF!="Actuals",#REF!="Forecast")</formula>
    </cfRule>
  </conditionalFormatting>
  <conditionalFormatting sqref="H54:N54">
    <cfRule type="expression" dxfId="93" priority="14">
      <formula>AND(#REF!="Actuals",#REF!="Forecast")</formula>
    </cfRule>
  </conditionalFormatting>
  <conditionalFormatting sqref="C89:I89">
    <cfRule type="expression" dxfId="92" priority="10">
      <formula>AND(#REF!="Actuals",#REF!="Forecast")</formula>
    </cfRule>
  </conditionalFormatting>
  <conditionalFormatting sqref="O53">
    <cfRule type="expression" dxfId="91" priority="4">
      <formula>AND(#REF!="Actuals",#REF!="Forecast")</formula>
    </cfRule>
  </conditionalFormatting>
  <conditionalFormatting sqref="O54:U54">
    <cfRule type="expression" dxfId="90" priority="3">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G20" sqref="G20"/>
    </sheetView>
  </sheetViews>
  <sheetFormatPr defaultRowHeight="13.5"/>
  <cols>
    <col min="1" max="1" width="8.3828125" customWidth="1"/>
    <col min="2" max="2" width="23.765625" customWidth="1"/>
    <col min="3" max="3" width="25.765625" customWidth="1"/>
    <col min="4" max="4" width="9.765625" customWidth="1"/>
  </cols>
  <sheetData>
    <row r="1" spans="1:13" ht="20">
      <c r="A1" s="639" t="s">
        <v>157</v>
      </c>
      <c r="B1" s="639"/>
      <c r="C1" s="639"/>
      <c r="D1" s="639"/>
      <c r="E1" s="639"/>
      <c r="F1" s="639"/>
      <c r="G1" s="639"/>
      <c r="H1" s="639"/>
      <c r="I1" s="18" t="s">
        <v>158</v>
      </c>
      <c r="J1" s="19"/>
      <c r="K1" s="19"/>
      <c r="L1" s="19"/>
      <c r="M1" s="19"/>
    </row>
    <row r="2" spans="1:13" ht="20">
      <c r="A2" s="644" t="str">
        <f>Licensee</f>
        <v>NGET (TO)</v>
      </c>
      <c r="B2" s="639"/>
      <c r="C2" s="639"/>
      <c r="D2" s="639"/>
      <c r="E2" s="639"/>
      <c r="F2" s="639"/>
      <c r="G2" s="639"/>
      <c r="H2" s="639"/>
      <c r="I2" s="19"/>
      <c r="J2" s="19"/>
      <c r="K2" s="19"/>
      <c r="L2" s="19"/>
      <c r="M2" s="19"/>
    </row>
    <row r="3" spans="1:13" ht="20">
      <c r="A3" s="639">
        <f>Reporting_Year</f>
        <v>2022</v>
      </c>
      <c r="B3" s="639"/>
      <c r="C3" s="639"/>
      <c r="D3" s="639"/>
      <c r="E3" s="639"/>
      <c r="F3" s="639"/>
      <c r="G3" s="639"/>
      <c r="H3" s="639"/>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159</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960" t="s">
        <v>160</v>
      </c>
      <c r="C8" s="960" t="s">
        <v>161</v>
      </c>
      <c r="D8" s="1379" t="s">
        <v>162</v>
      </c>
      <c r="E8" s="1380"/>
      <c r="F8" s="1380"/>
      <c r="G8" s="1380"/>
      <c r="H8" s="1380"/>
      <c r="I8" s="13"/>
      <c r="J8" s="13"/>
      <c r="K8" s="13"/>
      <c r="L8" s="13"/>
      <c r="M8" s="13"/>
    </row>
    <row r="9" spans="1:13">
      <c r="A9" s="13"/>
      <c r="B9" s="961" t="s">
        <v>163</v>
      </c>
      <c r="C9" s="962" t="s">
        <v>164</v>
      </c>
      <c r="D9" s="1377"/>
      <c r="E9" s="1378"/>
      <c r="F9" s="1378"/>
      <c r="G9" s="1378"/>
      <c r="H9" s="1378"/>
      <c r="I9" s="13"/>
      <c r="J9" s="13"/>
      <c r="K9" s="13"/>
      <c r="L9" s="13"/>
      <c r="M9" s="13"/>
    </row>
    <row r="10" spans="1:13">
      <c r="A10" s="13"/>
      <c r="B10" s="961" t="s">
        <v>165</v>
      </c>
      <c r="C10" s="962"/>
      <c r="D10" s="1377"/>
      <c r="E10" s="1378"/>
      <c r="F10" s="1378"/>
      <c r="G10" s="1378"/>
      <c r="H10" s="1378"/>
      <c r="I10" s="13"/>
      <c r="J10" s="13"/>
      <c r="K10" s="13"/>
      <c r="L10" s="13"/>
      <c r="M10" s="13"/>
    </row>
    <row r="11" spans="1:13">
      <c r="A11" s="13"/>
      <c r="B11" s="961" t="s">
        <v>166</v>
      </c>
      <c r="C11" s="962"/>
      <c r="D11" s="1377"/>
      <c r="E11" s="1378"/>
      <c r="F11" s="1378"/>
      <c r="G11" s="1378"/>
      <c r="H11" s="1378"/>
      <c r="I11" s="13"/>
      <c r="J11" s="13"/>
      <c r="K11" s="13"/>
      <c r="L11" s="13"/>
      <c r="M11" s="13"/>
    </row>
    <row r="12" spans="1:13">
      <c r="A12" s="13"/>
      <c r="B12" s="961" t="s">
        <v>167</v>
      </c>
      <c r="C12" s="962"/>
      <c r="D12" s="1377"/>
      <c r="E12" s="1378"/>
      <c r="F12" s="1378"/>
      <c r="G12" s="1378"/>
      <c r="H12" s="1378"/>
      <c r="I12" s="13"/>
      <c r="J12" s="13"/>
      <c r="K12" s="13"/>
      <c r="L12" s="13"/>
      <c r="M12" s="13"/>
    </row>
    <row r="13" spans="1:13">
      <c r="A13" s="13"/>
      <c r="B13" s="961" t="s">
        <v>168</v>
      </c>
      <c r="C13" s="962"/>
      <c r="D13" s="1377"/>
      <c r="E13" s="1378"/>
      <c r="F13" s="1378"/>
      <c r="G13" s="1378"/>
      <c r="H13" s="1378"/>
      <c r="I13" s="13"/>
      <c r="J13" s="13"/>
      <c r="K13" s="13"/>
      <c r="L13" s="13"/>
      <c r="M13" s="13"/>
    </row>
    <row r="14" spans="1:13">
      <c r="A14" s="13"/>
      <c r="B14" s="961" t="s">
        <v>169</v>
      </c>
      <c r="C14" s="962"/>
      <c r="D14" s="1377"/>
      <c r="E14" s="1378"/>
      <c r="F14" s="1378"/>
      <c r="G14" s="1378"/>
      <c r="H14" s="1378"/>
      <c r="I14" s="13"/>
      <c r="J14" s="13"/>
      <c r="K14" s="13"/>
      <c r="L14" s="13"/>
      <c r="M14" s="13"/>
    </row>
    <row r="15" spans="1:13">
      <c r="A15" s="13"/>
      <c r="B15" s="961" t="s">
        <v>170</v>
      </c>
      <c r="C15" s="962"/>
      <c r="D15" s="1377"/>
      <c r="E15" s="1378"/>
      <c r="F15" s="1378"/>
      <c r="G15" s="1378"/>
      <c r="H15" s="1378"/>
      <c r="I15" s="13"/>
      <c r="J15" s="13"/>
      <c r="K15" s="13"/>
      <c r="L15" s="13"/>
      <c r="M15" s="13"/>
    </row>
    <row r="16" spans="1:13">
      <c r="A16" s="13"/>
      <c r="B16" s="961" t="s">
        <v>171</v>
      </c>
      <c r="C16" s="962"/>
      <c r="D16" s="1377"/>
      <c r="E16" s="1378"/>
      <c r="F16" s="1378"/>
      <c r="G16" s="1378"/>
      <c r="H16" s="1378"/>
      <c r="I16" s="13"/>
      <c r="J16" s="13"/>
      <c r="K16" s="13"/>
      <c r="L16" s="13"/>
      <c r="M16" s="13"/>
    </row>
    <row r="17" spans="1:13">
      <c r="A17" s="13"/>
      <c r="B17" s="961" t="s">
        <v>172</v>
      </c>
      <c r="C17" s="962"/>
      <c r="D17" s="1377"/>
      <c r="E17" s="1378"/>
      <c r="F17" s="1378"/>
      <c r="G17" s="1378"/>
      <c r="H17" s="1378"/>
      <c r="I17" s="13"/>
      <c r="J17" s="13"/>
      <c r="K17" s="13"/>
      <c r="L17" s="13"/>
      <c r="M17" s="13"/>
    </row>
    <row r="18" spans="1:13">
      <c r="A18" s="13"/>
      <c r="B18" s="961" t="s">
        <v>173</v>
      </c>
      <c r="C18" s="962"/>
      <c r="D18" s="1377"/>
      <c r="E18" s="1378"/>
      <c r="F18" s="1378"/>
      <c r="G18" s="1378"/>
      <c r="H18" s="1378"/>
      <c r="I18" s="13"/>
      <c r="J18" s="13"/>
      <c r="K18" s="13"/>
      <c r="L18" s="13"/>
      <c r="M18" s="13"/>
    </row>
    <row r="19" spans="1:13">
      <c r="A19" s="13"/>
      <c r="B19" s="13"/>
      <c r="C19" s="13"/>
      <c r="D19" s="13"/>
      <c r="E19" s="13"/>
      <c r="F19" s="13"/>
      <c r="G19" s="13"/>
      <c r="H19" s="13"/>
      <c r="I19" s="13"/>
      <c r="J19" s="13"/>
      <c r="K19" s="13"/>
      <c r="L19" s="13"/>
      <c r="M19" s="13"/>
    </row>
    <row r="20" spans="1:13">
      <c r="A20" s="13"/>
      <c r="B20" s="89"/>
      <c r="C20" s="13"/>
      <c r="D20" s="13"/>
      <c r="E20" s="13"/>
      <c r="F20" s="13"/>
      <c r="G20" s="13"/>
      <c r="H20" s="13"/>
      <c r="I20" s="13"/>
      <c r="J20" s="13"/>
      <c r="K20" s="13"/>
      <c r="L20" s="13"/>
    </row>
    <row r="21" spans="1:13">
      <c r="A21" s="13"/>
      <c r="B21" s="126" t="s">
        <v>174</v>
      </c>
      <c r="C21" s="13"/>
      <c r="D21" s="13"/>
      <c r="E21" s="13"/>
      <c r="F21" s="13"/>
      <c r="G21" s="13"/>
      <c r="H21" s="13"/>
      <c r="I21" s="13"/>
      <c r="J21" s="13"/>
      <c r="K21" s="13"/>
      <c r="L21" s="13"/>
    </row>
    <row r="22" spans="1:13">
      <c r="A22" s="13"/>
      <c r="B22" s="126" t="s">
        <v>175</v>
      </c>
      <c r="C22" s="13"/>
      <c r="D22" s="13"/>
      <c r="E22" s="13"/>
      <c r="F22" s="13"/>
      <c r="G22" s="13"/>
      <c r="H22" s="13"/>
      <c r="I22" s="13"/>
      <c r="J22" s="13"/>
      <c r="K22" s="13"/>
      <c r="L22" s="13"/>
    </row>
    <row r="23" spans="1:13">
      <c r="A23" s="13"/>
      <c r="B23" s="126" t="s">
        <v>176</v>
      </c>
      <c r="C23" s="13"/>
      <c r="D23" s="13"/>
      <c r="E23" s="13"/>
      <c r="F23" s="13"/>
      <c r="G23" s="13"/>
      <c r="H23" s="13"/>
      <c r="I23" s="13"/>
      <c r="J23" s="13"/>
      <c r="K23" s="13"/>
      <c r="L23" s="13"/>
    </row>
    <row r="24" spans="1:13">
      <c r="B24" s="126" t="s">
        <v>177</v>
      </c>
    </row>
    <row r="25" spans="1:13">
      <c r="B25" s="126" t="s">
        <v>178</v>
      </c>
    </row>
    <row r="26" spans="1:13">
      <c r="B26" s="126" t="s">
        <v>179</v>
      </c>
    </row>
    <row r="27" spans="1:13">
      <c r="B27" s="126" t="s">
        <v>180</v>
      </c>
    </row>
    <row r="28" spans="1:13">
      <c r="B28" s="126" t="s">
        <v>181</v>
      </c>
    </row>
    <row r="29" spans="1:13">
      <c r="B29" s="126" t="s">
        <v>182</v>
      </c>
    </row>
    <row r="30" spans="1:13">
      <c r="B30" s="126" t="s">
        <v>183</v>
      </c>
    </row>
    <row r="31" spans="1:13">
      <c r="B31" s="914" t="s">
        <v>184</v>
      </c>
    </row>
    <row r="32" spans="1:13">
      <c r="B32" s="126" t="s">
        <v>185</v>
      </c>
    </row>
    <row r="33" spans="2:5">
      <c r="B33" s="126" t="s">
        <v>186</v>
      </c>
    </row>
    <row r="35" spans="2:5">
      <c r="E35" s="126"/>
    </row>
  </sheetData>
  <sheetProtection algorithmName="SHA-512" hashValue="j888WLCYTddshbvd5Amzw4JzWAL37pG0qZzt6M+p+4ysSDXmzCFICOdETpgX6TOJoBypuG15qYzlfLd+ihvnKA==" saltValue="dAh455eYRmTHp0e/mJwdxA==" spinCount="100000" sheet="1" formatCells="0" formatColumns="0" formatRows="0" insertColumns="0" insertRows="0" insertHyperlinks="0" deleteColumns="0" deleteRows="0" sort="0" autoFilter="0" pivotTables="0"/>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50" zoomScaleNormal="50" workbookViewId="0">
      <pane ySplit="5" topLeftCell="A6" activePane="bottomLeft" state="frozen"/>
      <selection activeCell="D15" sqref="D15"/>
      <selection pane="bottomLeft" activeCell="D14" sqref="D14"/>
    </sheetView>
  </sheetViews>
  <sheetFormatPr defaultRowHeight="13.5"/>
  <cols>
    <col min="1" max="1" width="19.15234375" bestFit="1" customWidth="1"/>
    <col min="2" max="2" width="12.15234375" bestFit="1" customWidth="1"/>
    <col min="3" max="3" width="104.15234375" customWidth="1"/>
    <col min="4" max="4" width="35.4609375" customWidth="1"/>
  </cols>
  <sheetData>
    <row r="1" spans="1:4" ht="20">
      <c r="A1" s="16" t="s">
        <v>187</v>
      </c>
      <c r="B1" s="16"/>
      <c r="C1" s="16"/>
      <c r="D1" s="16"/>
    </row>
    <row r="2" spans="1:4" ht="20">
      <c r="A2" s="644" t="str">
        <f>Licensee</f>
        <v>NGET (TO)</v>
      </c>
      <c r="B2" s="16"/>
      <c r="C2" s="16"/>
      <c r="D2" s="16"/>
    </row>
    <row r="3" spans="1:4" ht="20">
      <c r="A3" s="639">
        <f>Reporting_Year</f>
        <v>2022</v>
      </c>
      <c r="B3" s="16"/>
      <c r="C3" s="16"/>
      <c r="D3" s="16"/>
    </row>
    <row r="4" spans="1:4" ht="20">
      <c r="A4" s="563"/>
      <c r="B4" s="563"/>
      <c r="C4" s="563"/>
      <c r="D4" s="563"/>
    </row>
    <row r="5" spans="1:4" ht="28">
      <c r="A5" s="560" t="s">
        <v>188</v>
      </c>
      <c r="B5" s="561" t="s">
        <v>189</v>
      </c>
      <c r="C5" s="562" t="s">
        <v>190</v>
      </c>
    </row>
    <row r="6" spans="1:4" ht="27">
      <c r="A6" s="1315" t="s">
        <v>191</v>
      </c>
      <c r="B6" s="577" t="s">
        <v>192</v>
      </c>
      <c r="C6" s="577" t="s">
        <v>193</v>
      </c>
    </row>
    <row r="7" spans="1:4">
      <c r="A7" s="1315" t="s">
        <v>191</v>
      </c>
      <c r="B7" s="577" t="s">
        <v>194</v>
      </c>
      <c r="C7" s="577" t="s">
        <v>195</v>
      </c>
    </row>
    <row r="8" spans="1:4">
      <c r="A8" s="1315" t="s">
        <v>191</v>
      </c>
      <c r="B8" s="577" t="s">
        <v>194</v>
      </c>
      <c r="C8" s="577" t="s">
        <v>196</v>
      </c>
    </row>
    <row r="9" spans="1:4" ht="27">
      <c r="A9" s="1315" t="s">
        <v>191</v>
      </c>
      <c r="B9" s="577" t="s">
        <v>194</v>
      </c>
      <c r="C9" s="577" t="s">
        <v>197</v>
      </c>
    </row>
    <row r="10" spans="1:4" ht="27">
      <c r="A10" s="1315" t="s">
        <v>191</v>
      </c>
      <c r="B10" s="577" t="s">
        <v>194</v>
      </c>
      <c r="C10" s="577" t="s">
        <v>198</v>
      </c>
    </row>
    <row r="11" spans="1:4" ht="34.4" customHeight="1">
      <c r="A11" s="1316" t="s">
        <v>191</v>
      </c>
      <c r="B11" s="1292" t="s">
        <v>194</v>
      </c>
      <c r="C11" s="1292" t="s">
        <v>199</v>
      </c>
    </row>
    <row r="12" spans="1:4" ht="103" customHeight="1">
      <c r="A12" s="1300" t="s">
        <v>191</v>
      </c>
      <c r="B12" s="1300" t="s">
        <v>194</v>
      </c>
      <c r="C12" s="1300" t="s">
        <v>200</v>
      </c>
    </row>
    <row r="13" spans="1:4" ht="103.5" customHeight="1">
      <c r="A13" s="1331" t="s">
        <v>191</v>
      </c>
      <c r="B13" s="1292" t="s">
        <v>201</v>
      </c>
      <c r="C13" s="1292" t="s">
        <v>202</v>
      </c>
    </row>
    <row r="14" spans="1:4" ht="40.5">
      <c r="A14" s="1332" t="s">
        <v>191</v>
      </c>
      <c r="B14" s="1300" t="s">
        <v>203</v>
      </c>
      <c r="C14" s="1333" t="s">
        <v>204</v>
      </c>
    </row>
    <row r="15" spans="1:4" ht="67.5">
      <c r="A15" s="1300" t="s">
        <v>191</v>
      </c>
      <c r="B15" s="1300" t="s">
        <v>205</v>
      </c>
      <c r="C15" s="1300" t="s">
        <v>206</v>
      </c>
    </row>
    <row r="16" spans="1:4" ht="27">
      <c r="A16" s="1300" t="s">
        <v>191</v>
      </c>
      <c r="B16" s="1300" t="s">
        <v>207</v>
      </c>
      <c r="C16" s="1300" t="s">
        <v>208</v>
      </c>
    </row>
    <row r="17" spans="1:3" ht="80.150000000000006" customHeight="1">
      <c r="A17" s="1300" t="s">
        <v>209</v>
      </c>
      <c r="B17" s="1300" t="s">
        <v>210</v>
      </c>
      <c r="C17" s="1300" t="s">
        <v>211</v>
      </c>
    </row>
    <row r="18" spans="1:3" ht="27">
      <c r="A18" s="1300" t="s">
        <v>209</v>
      </c>
      <c r="B18" s="1300" t="s">
        <v>212</v>
      </c>
      <c r="C18" s="1300" t="s">
        <v>213</v>
      </c>
    </row>
    <row r="19" spans="1:3" ht="67.5">
      <c r="A19" s="1300" t="s">
        <v>209</v>
      </c>
      <c r="B19" s="1300" t="s">
        <v>192</v>
      </c>
      <c r="C19" s="1300" t="s">
        <v>214</v>
      </c>
    </row>
    <row r="20" spans="1:3" ht="27">
      <c r="A20" s="1300" t="s">
        <v>209</v>
      </c>
      <c r="B20" s="1300" t="s">
        <v>215</v>
      </c>
      <c r="C20" s="1300" t="s">
        <v>216</v>
      </c>
    </row>
    <row r="21" spans="1:3" ht="40.5">
      <c r="A21" s="1300" t="s">
        <v>209</v>
      </c>
      <c r="B21" s="1300" t="s">
        <v>217</v>
      </c>
      <c r="C21" s="1300" t="s">
        <v>218</v>
      </c>
    </row>
    <row r="22" spans="1:3">
      <c r="A22" s="1317" t="s">
        <v>209</v>
      </c>
      <c r="B22" s="1317" t="s">
        <v>219</v>
      </c>
      <c r="C22" s="1317" t="s">
        <v>220</v>
      </c>
    </row>
    <row r="23" spans="1:3">
      <c r="A23" s="949"/>
      <c r="B23" s="949"/>
      <c r="C23" s="949"/>
    </row>
    <row r="24" spans="1:3">
      <c r="A24" s="949"/>
      <c r="B24" s="949"/>
      <c r="C24" s="949"/>
    </row>
    <row r="25" spans="1:3">
      <c r="A25" s="949"/>
      <c r="B25" s="949"/>
      <c r="C25" s="949"/>
    </row>
    <row r="26" spans="1:3">
      <c r="A26" s="1301"/>
      <c r="B26" s="1302"/>
      <c r="C26" s="1303"/>
    </row>
    <row r="27" spans="1:3">
      <c r="A27" s="949"/>
      <c r="B27" s="949"/>
      <c r="C27" s="949"/>
    </row>
    <row r="28" spans="1:3">
      <c r="A28" s="1301"/>
      <c r="B28" s="1302"/>
      <c r="C28" s="1303"/>
    </row>
    <row r="29" spans="1:3">
      <c r="A29" s="1301"/>
      <c r="B29" s="1302"/>
      <c r="C29" s="1303"/>
    </row>
    <row r="30" spans="1:3">
      <c r="A30" s="1301"/>
      <c r="B30" s="1302"/>
      <c r="C30" s="1303"/>
    </row>
    <row r="31" spans="1:3">
      <c r="A31" s="1301"/>
      <c r="B31" s="1302"/>
      <c r="C31" s="1303"/>
    </row>
    <row r="32" spans="1:3">
      <c r="A32" s="1301"/>
      <c r="B32" s="1302"/>
      <c r="C32" s="1305"/>
    </row>
    <row r="33" spans="1:3">
      <c r="A33" s="1301"/>
      <c r="B33" s="1302"/>
      <c r="C33" s="1303"/>
    </row>
    <row r="34" spans="1:3">
      <c r="A34" s="1301"/>
      <c r="B34" s="1302"/>
      <c r="C34" s="1303"/>
    </row>
    <row r="35" spans="1:3">
      <c r="A35" s="1304"/>
      <c r="B35" s="649"/>
      <c r="C35" s="650"/>
    </row>
    <row r="36" spans="1:3">
      <c r="A36" s="134"/>
      <c r="B36" s="587"/>
      <c r="C36" s="127"/>
    </row>
    <row r="37" spans="1:3">
      <c r="A37" s="134"/>
      <c r="B37" s="587"/>
      <c r="C37" s="127"/>
    </row>
    <row r="38" spans="1:3">
      <c r="A38" s="134"/>
      <c r="B38" s="587"/>
      <c r="C38" s="127"/>
    </row>
    <row r="39" spans="1:3">
      <c r="A39" s="134"/>
      <c r="B39" s="587"/>
      <c r="C39" s="127"/>
    </row>
    <row r="40" spans="1:3">
      <c r="A40" s="133"/>
      <c r="B40" s="587"/>
      <c r="C40" s="127"/>
    </row>
    <row r="41" spans="1:3">
      <c r="A41" s="134"/>
      <c r="B41" s="587"/>
      <c r="C41" s="127"/>
    </row>
    <row r="42" spans="1:3">
      <c r="A42" s="134"/>
      <c r="B42" s="587"/>
      <c r="C42" s="127"/>
    </row>
    <row r="43" spans="1:3">
      <c r="A43" s="134"/>
      <c r="B43" s="587"/>
      <c r="C43" s="127"/>
    </row>
    <row r="44" spans="1:3">
      <c r="A44" s="134"/>
      <c r="B44" s="572"/>
      <c r="C44" s="127"/>
    </row>
    <row r="45" spans="1:3">
      <c r="A45" s="134"/>
      <c r="B45" s="572"/>
      <c r="C45" s="127"/>
    </row>
    <row r="46" spans="1:3">
      <c r="A46" s="134"/>
      <c r="B46" s="572"/>
      <c r="C46" s="127"/>
    </row>
    <row r="47" spans="1:3">
      <c r="A47" s="134"/>
      <c r="B47" s="572"/>
      <c r="C47" s="127"/>
    </row>
    <row r="48" spans="1:3">
      <c r="A48" s="134"/>
      <c r="B48" s="572"/>
      <c r="C48" s="127"/>
    </row>
    <row r="49" spans="1:3">
      <c r="A49" s="134"/>
      <c r="B49" s="572"/>
      <c r="C49" s="127"/>
    </row>
    <row r="50" spans="1:3">
      <c r="A50" s="134"/>
      <c r="B50" s="572"/>
      <c r="C50" s="127"/>
    </row>
    <row r="51" spans="1:3">
      <c r="A51" s="134"/>
      <c r="B51" s="572"/>
      <c r="C51" s="127"/>
    </row>
    <row r="52" spans="1:3">
      <c r="A52" s="134"/>
      <c r="B52" s="572"/>
      <c r="C52" s="127"/>
    </row>
    <row r="53" spans="1:3">
      <c r="A53" s="134"/>
      <c r="B53" s="572"/>
      <c r="C53" s="127"/>
    </row>
    <row r="54" spans="1:3">
      <c r="A54" s="134"/>
      <c r="B54" s="591"/>
      <c r="C54" s="592"/>
    </row>
    <row r="55" spans="1:3">
      <c r="A55" s="134"/>
      <c r="B55" s="572"/>
      <c r="C55" s="127"/>
    </row>
    <row r="56" spans="1:3">
      <c r="A56" s="134"/>
      <c r="B56" s="572"/>
      <c r="C56" s="127"/>
    </row>
    <row r="57" spans="1:3">
      <c r="A57" s="134"/>
      <c r="B57" s="572"/>
      <c r="C57" s="127"/>
    </row>
    <row r="58" spans="1:3">
      <c r="A58" s="134"/>
      <c r="B58" s="572"/>
      <c r="C58" s="127"/>
    </row>
    <row r="59" spans="1:3">
      <c r="A59" s="134"/>
      <c r="B59" s="572"/>
      <c r="C59" s="586"/>
    </row>
    <row r="60" spans="1:3">
      <c r="A60" s="135"/>
      <c r="B60" s="573"/>
      <c r="C60" s="128"/>
    </row>
    <row r="61" spans="1:3">
      <c r="A61" s="135"/>
      <c r="B61" s="573"/>
      <c r="C61" s="128"/>
    </row>
    <row r="62" spans="1:3">
      <c r="A62" s="135"/>
      <c r="B62" s="573"/>
      <c r="C62" s="128"/>
    </row>
    <row r="63" spans="1:3">
      <c r="A63" s="135"/>
      <c r="B63" s="573"/>
      <c r="C63" s="128"/>
    </row>
    <row r="64" spans="1:3">
      <c r="A64" s="135"/>
      <c r="B64" s="573"/>
      <c r="C64" s="128"/>
    </row>
    <row r="65" spans="1:3">
      <c r="A65" s="135"/>
      <c r="B65" s="573"/>
      <c r="C65" s="128"/>
    </row>
    <row r="66" spans="1:3">
      <c r="A66" s="135"/>
      <c r="B66" s="573"/>
      <c r="C66" s="128"/>
    </row>
    <row r="67" spans="1:3">
      <c r="A67" s="135"/>
      <c r="B67" s="573"/>
      <c r="C67" s="128"/>
    </row>
  </sheetData>
  <sheetProtection algorithmName="SHA-512" hashValue="JmR1f62qsKdmYgLXmtLEE8Lak4rp31tgJ6SPzr1UKuuhbUcCHUCVWuuMc6jDvWsq/dGmeFRKhta4yObzWqrHPg==" saltValue="/8KKTGjgZxHP2KTcZgEZ2w==" spinCount="100000" sheet="1" formatCells="0" formatColumns="0" formatRows="0" insertColumns="0" insertRows="0" insertHyperlinks="0" deleteColumns="0" deleteRows="0" sort="0" autoFilter="0" pivotTables="0"/>
  <phoneticPr fontId="265" type="noConversion"/>
  <pageMargins left="0.70866141732283472" right="0.70866141732283472" top="0.74803149606299213" bottom="0.74803149606299213" header="0.31496062992125984" footer="0.31496062992125984"/>
  <pageSetup paperSize="8" scale="85" orientation="landscape" r:id="rId1"/>
  <headerFooter>
    <oddFooter>&amp;C_x000D_&amp;1#&amp;"Calibri"&amp;10&amp;K000000 OFFICIAL-InternalOnly</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topLeftCell="B1" zoomScale="80" zoomScaleNormal="80" workbookViewId="0">
      <pane ySplit="7" topLeftCell="A74" activePane="bottomLeft" state="frozen"/>
      <selection pane="bottomLeft" activeCell="L86" sqref="L86"/>
    </sheetView>
  </sheetViews>
  <sheetFormatPr defaultRowHeight="13.5"/>
  <cols>
    <col min="1" max="1" width="8.3828125" customWidth="1"/>
    <col min="2" max="2" width="63.3828125" style="89"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1170" t="s">
        <v>221</v>
      </c>
      <c r="B1" s="750"/>
      <c r="C1" s="751"/>
      <c r="D1" s="751"/>
      <c r="E1" s="751"/>
      <c r="F1" s="751"/>
      <c r="G1" s="752"/>
      <c r="H1" s="752"/>
      <c r="I1" s="753"/>
      <c r="J1" s="753"/>
      <c r="K1" s="753"/>
      <c r="L1" s="1174" t="s">
        <v>158</v>
      </c>
    </row>
    <row r="2" spans="1:20" ht="20">
      <c r="A2" s="644" t="str">
        <f>Licensee</f>
        <v>NGET (TO)</v>
      </c>
      <c r="B2" s="647"/>
      <c r="C2" s="639"/>
      <c r="D2" s="639"/>
      <c r="E2" s="639"/>
      <c r="F2" s="639"/>
      <c r="G2" s="16"/>
      <c r="H2" s="16"/>
      <c r="I2" s="15"/>
      <c r="J2" s="15"/>
      <c r="K2" s="15"/>
      <c r="L2" s="66"/>
    </row>
    <row r="3" spans="1:20" ht="20">
      <c r="A3" s="639">
        <f>Reporting_Year</f>
        <v>2022</v>
      </c>
      <c r="B3" s="16" t="str">
        <f>IF(Licensee=Data!$B$78,"Only required to be completed to show Operational Performance",IF(Licensee=Data!$B$81,"not required to be completed",""))</f>
        <v/>
      </c>
      <c r="C3" s="16"/>
      <c r="D3" s="16"/>
      <c r="E3" s="16"/>
      <c r="F3" s="16"/>
      <c r="G3" s="16"/>
      <c r="H3" s="963"/>
      <c r="I3" s="964"/>
      <c r="J3" s="964"/>
      <c r="K3" s="964"/>
      <c r="L3" s="120"/>
    </row>
    <row r="4" spans="1:20" ht="12.75" customHeight="1"/>
    <row r="5" spans="1:20">
      <c r="D5" s="249" t="str">
        <f t="shared" ref="D5:H5" si="0">IF(D6&lt;=Reporting_Year,"Actuals","Forecast")</f>
        <v>Actuals</v>
      </c>
      <c r="E5" s="249" t="str">
        <f t="shared" si="0"/>
        <v>Forecast</v>
      </c>
      <c r="F5" s="249" t="str">
        <f t="shared" si="0"/>
        <v>Forecast</v>
      </c>
      <c r="G5" s="249" t="str">
        <f t="shared" si="0"/>
        <v>Forecast</v>
      </c>
      <c r="H5" s="249" t="str">
        <f t="shared" si="0"/>
        <v>Forecast</v>
      </c>
      <c r="I5" s="2"/>
      <c r="J5" s="2"/>
    </row>
    <row r="6" spans="1:20" ht="31.5" customHeight="1">
      <c r="C6" s="80"/>
      <c r="D6" s="666">
        <f>RIIO_2_start_date</f>
        <v>2022</v>
      </c>
      <c r="E6" s="666">
        <f>D6+1</f>
        <v>2023</v>
      </c>
      <c r="F6" s="666">
        <f>E6+1</f>
        <v>2024</v>
      </c>
      <c r="G6" s="666">
        <f t="shared" ref="G6:H6" si="1">F6+1</f>
        <v>2025</v>
      </c>
      <c r="H6" s="666">
        <f t="shared" si="1"/>
        <v>2026</v>
      </c>
      <c r="I6" s="28"/>
      <c r="J6" s="50" t="str">
        <f>"Cumulative to "&amp;'RFPR cover'!$C$9</f>
        <v>Cumulative to 2022</v>
      </c>
      <c r="K6" s="87" t="s">
        <v>222</v>
      </c>
    </row>
    <row r="7" spans="1:20">
      <c r="C7" s="80"/>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c r="I7" s="80"/>
      <c r="J7" s="80"/>
      <c r="K7" s="80"/>
      <c r="L7" s="80"/>
    </row>
    <row r="8" spans="1:20">
      <c r="C8" s="89"/>
      <c r="D8" s="89"/>
      <c r="E8" s="89"/>
      <c r="F8" s="89"/>
      <c r="G8" s="89"/>
      <c r="H8" s="89"/>
      <c r="I8" s="89"/>
      <c r="J8" s="89"/>
      <c r="K8" s="89"/>
      <c r="L8" s="89"/>
      <c r="M8" s="89"/>
      <c r="N8" s="89"/>
      <c r="O8" s="89"/>
      <c r="P8" s="89"/>
      <c r="Q8" s="89"/>
      <c r="R8" s="89"/>
      <c r="S8" s="89"/>
      <c r="T8" s="89"/>
    </row>
    <row r="9" spans="1:20">
      <c r="B9" s="415" t="s">
        <v>223</v>
      </c>
      <c r="C9" s="99"/>
      <c r="D9" s="99"/>
      <c r="E9" s="99"/>
      <c r="F9" s="99"/>
      <c r="G9" s="99"/>
      <c r="H9" s="99"/>
      <c r="I9" s="416"/>
      <c r="J9" s="99"/>
      <c r="K9" s="99"/>
      <c r="L9" s="99"/>
    </row>
    <row r="10" spans="1:20">
      <c r="B10" s="90"/>
      <c r="I10" s="28"/>
    </row>
    <row r="11" spans="1:20">
      <c r="B11" s="844" t="s">
        <v>224</v>
      </c>
      <c r="C11" s="843" t="s">
        <v>225</v>
      </c>
      <c r="D11" s="401">
        <f>IFERROR(Equity_Return_on_the_RAV/NPV_neutral_equity_element_of_RAV,0)</f>
        <v>4.2439449777777784E-2</v>
      </c>
      <c r="E11" s="401">
        <f>IFERROR(Equity_Return_on_the_RAV/NPV_neutral_equity_element_of_RAV,0)</f>
        <v>4.2616093333333334E-2</v>
      </c>
      <c r="F11" s="401">
        <f>IFERROR(Equity_Return_on_the_RAV/NPV_neutral_equity_element_of_RAV,0)</f>
        <v>4.2388117333333329E-2</v>
      </c>
      <c r="G11" s="401">
        <f>IFERROR(Equity_Return_on_the_RAV/NPV_neutral_equity_element_of_RAV,0)</f>
        <v>4.2547130666666676E-2</v>
      </c>
      <c r="H11" s="401">
        <f>IFERROR(Equity_Return_on_the_RAV/NPV_neutral_equity_element_of_RAV,0)</f>
        <v>4.2685452444444452E-2</v>
      </c>
      <c r="I11" s="81"/>
      <c r="J11" s="402">
        <f>IFERROR(AVERAGE(D65:INDEX(D65:H65,0,MATCH('RFPR cover'!$C$9,$D$6:$H$6,0)))/AVERAGE($D$90:INDEX($D$90:$H$90,0,MATCH('RFPR cover'!$C$9,$D$6:$H$6,0))),0)</f>
        <v>4.2439449777777784E-2</v>
      </c>
      <c r="K11" s="402">
        <f t="shared" ref="K11:K21" si="2">IFERROR(AVERAGE(D65:H65)/AVERAGE($D$90:$H$90),0)</f>
        <v>4.2537512914478097E-2</v>
      </c>
    </row>
    <row r="12" spans="1:20">
      <c r="B12" s="844" t="str">
        <f t="shared" ref="B12:B18" si="3">B66</f>
        <v>Totex outperformance</v>
      </c>
      <c r="C12" s="843" t="s">
        <v>225</v>
      </c>
      <c r="D12" s="676">
        <f>IFERROR(Totex_outperformance/NPV_neutral_equity_element_of_RAV,0)</f>
        <v>1.2229670233384749E-2</v>
      </c>
      <c r="E12" s="676">
        <f>IFERROR(Totex_outperformance/NPV_neutral_equity_element_of_RAV,0)</f>
        <v>1.2318280792572916E-2</v>
      </c>
      <c r="F12" s="676">
        <f>IFERROR(Totex_outperformance/NPV_neutral_equity_element_of_RAV,0)</f>
        <v>4.8739583851253399E-3</v>
      </c>
      <c r="G12" s="676">
        <f>IFERROR(Totex_outperformance/NPV_neutral_equity_element_of_RAV,0)</f>
        <v>7.7716493912354211E-3</v>
      </c>
      <c r="H12" s="676">
        <f>IFERROR(Totex_outperformance/NPV_neutral_equity_element_of_RAV,0)</f>
        <v>8.3791229798679673E-3</v>
      </c>
      <c r="I12" s="81"/>
      <c r="J12" s="402">
        <f>IFERROR(AVERAGE(D66:INDEX(D66:H66,0,MATCH('RFPR cover'!$C$9,$D$6:$H$6,0)))/AVERAGE($D$90:INDEX($D$90:$H$90,0,MATCH('RFPR cover'!$C$9,$D$6:$H$6,0))),0)</f>
        <v>1.2229670233384749E-2</v>
      </c>
      <c r="K12" s="402">
        <f t="shared" si="2"/>
        <v>9.0422156941660139E-3</v>
      </c>
      <c r="M12" s="81"/>
    </row>
    <row r="13" spans="1:20">
      <c r="A13" s="79" t="s">
        <v>226</v>
      </c>
      <c r="B13" s="844" t="str">
        <f t="shared" si="3"/>
        <v>Business Plan Incentive</v>
      </c>
      <c r="C13" s="843" t="s">
        <v>225</v>
      </c>
      <c r="D13" s="676">
        <f>IFERROR(Business_Plan_Incentive/NPV_neutral_equity_element_of_RAV,0)</f>
        <v>-2.0884148206390661E-3</v>
      </c>
      <c r="E13" s="676">
        <f>IFERROR(Business_Plan_Incentive/NPV_neutral_equity_element_of_RAV,0)</f>
        <v>-2.0335496638021855E-3</v>
      </c>
      <c r="F13" s="676">
        <f>IFERROR(Business_Plan_Incentive/NPV_neutral_equity_element_of_RAV,0)</f>
        <v>-1.9671891234383501E-3</v>
      </c>
      <c r="G13" s="676">
        <f>IFERROR(Business_Plan_Incentive/NPV_neutral_equity_element_of_RAV,0)</f>
        <v>-1.9157596818738642E-3</v>
      </c>
      <c r="H13" s="676">
        <f>IFERROR(Business_Plan_Incentive/NPV_neutral_equity_element_of_RAV,0)</f>
        <v>-1.8670481724391936E-3</v>
      </c>
      <c r="I13" s="81"/>
      <c r="J13" s="402">
        <f>IFERROR(AVERAGE(D67:INDEX(D67:H67,0,MATCH('RFPR cover'!$C$9,$D$6:$H$6,0)))/AVERAGE($D$90:INDEX($D$90:$H$90,0,MATCH('RFPR cover'!$C$9,$D$6:$H$6,0))),0)</f>
        <v>-2.0884148206390661E-3</v>
      </c>
      <c r="K13" s="402">
        <f t="shared" si="2"/>
        <v>-1.9712096735754647E-3</v>
      </c>
    </row>
    <row r="14" spans="1:20">
      <c r="A14" s="79" t="s">
        <v>227</v>
      </c>
      <c r="B14" s="844" t="str">
        <f t="shared" si="3"/>
        <v xml:space="preserve">Energy not supplied ODI </v>
      </c>
      <c r="C14" s="843" t="s">
        <v>225</v>
      </c>
      <c r="D14" s="676">
        <f>IFERROR(ODI_1/NPV_neutral_equity_element_of_RAV,0)</f>
        <v>1.3397929562271324E-4</v>
      </c>
      <c r="E14" s="676">
        <f>IFERROR(ODI_1/NPV_neutral_equity_element_of_RAV,0)</f>
        <v>1.3045949917490525E-4</v>
      </c>
      <c r="F14" s="676">
        <f>IFERROR(ODI_1/NPV_neutral_equity_element_of_RAV,0)</f>
        <v>1.2620223267438855E-4</v>
      </c>
      <c r="G14" s="676">
        <f>IFERROR(ODI_1/NPV_neutral_equity_element_of_RAV,0)</f>
        <v>1.2290284967490821E-4</v>
      </c>
      <c r="H14" s="676">
        <f>IFERROR(ODI_1/NPV_neutral_equity_element_of_RAV,0)</f>
        <v>1.1977783176262429E-4</v>
      </c>
      <c r="I14" s="81"/>
      <c r="J14" s="402">
        <f>IFERROR(AVERAGE(D68:INDEX(D68:H68,0,MATCH('RFPR cover'!$C$9,$D$6:$H$6,0)))/AVERAGE($D$90:INDEX($D$90:$H$90,0,MATCH('RFPR cover'!$C$9,$D$6:$H$6,0))),0)</f>
        <v>1.3397929562271324E-4</v>
      </c>
      <c r="K14" s="402">
        <f t="shared" si="2"/>
        <v>1.2646016537533615E-4</v>
      </c>
    </row>
    <row r="15" spans="1:20">
      <c r="A15" s="79" t="s">
        <v>228</v>
      </c>
      <c r="B15" s="844" t="str">
        <f t="shared" si="3"/>
        <v xml:space="preserve">Insulation And Interruption Gas emissions ODI </v>
      </c>
      <c r="C15" s="843" t="s">
        <v>225</v>
      </c>
      <c r="D15" s="676">
        <f>IFERROR(ODI_2/NPV_neutral_equity_element_of_RAV,0)</f>
        <v>2.6793655572559405E-4</v>
      </c>
      <c r="E15" s="676">
        <f>IFERROR(ODI_2/NPV_neutral_equity_element_of_RAV,0)</f>
        <v>1.4671984246755434E-4</v>
      </c>
      <c r="F15" s="676">
        <f>IFERROR(ODI_2/NPV_neutral_equity_element_of_RAV,0)</f>
        <v>1.3832503203668446E-4</v>
      </c>
      <c r="G15" s="676">
        <f>IFERROR(ODI_2/NPV_neutral_equity_element_of_RAV,0)</f>
        <v>-8.8959624725387347E-5</v>
      </c>
      <c r="H15" s="676">
        <f>IFERROR(ODI_2/NPV_neutral_equity_element_of_RAV,0)</f>
        <v>-5.9432110652981762E-5</v>
      </c>
      <c r="I15" s="81"/>
      <c r="J15" s="402">
        <f>IFERROR(AVERAGE(D69:INDEX(D69:H69,0,MATCH('RFPR cover'!$C$9,$D$6:$H$6,0)))/AVERAGE($D$90:INDEX($D$90:$H$90,0,MATCH('RFPR cover'!$C$9,$D$6:$H$6,0))),0)</f>
        <v>2.6793655572559405E-4</v>
      </c>
      <c r="K15" s="402">
        <f t="shared" si="2"/>
        <v>7.5889406587960272E-5</v>
      </c>
    </row>
    <row r="16" spans="1:20">
      <c r="A16" s="79" t="s">
        <v>229</v>
      </c>
      <c r="B16" s="844" t="str">
        <f t="shared" si="3"/>
        <v xml:space="preserve">Timely Connections ODI </v>
      </c>
      <c r="C16" s="843" t="s">
        <v>225</v>
      </c>
      <c r="D16" s="676">
        <f>IFERROR(ODI_3/NPV_neutral_equity_element_of_RAV,0)</f>
        <v>-4.2203382833747792E-5</v>
      </c>
      <c r="E16" s="676">
        <f>IFERROR(ODI_3/NPV_neutral_equity_element_of_RAV,0)</f>
        <v>-4.1094649456002496E-5</v>
      </c>
      <c r="F16" s="676">
        <f>IFERROR(ODI_3/NPV_neutral_equity_element_of_RAV,0)</f>
        <v>-3.9753613536149989E-5</v>
      </c>
      <c r="G16" s="676">
        <f>IFERROR(ODI_3/NPV_neutral_equity_element_of_RAV,0)</f>
        <v>-3.8714310237867672E-5</v>
      </c>
      <c r="H16" s="676">
        <f>IFERROR(ODI_3/NPV_neutral_equity_element_of_RAV,0)</f>
        <v>-3.7729931818042036E-5</v>
      </c>
      <c r="I16" s="81"/>
      <c r="J16" s="402">
        <f>IFERROR(AVERAGE(D70:INDEX(D70:H70,0,MATCH('RFPR cover'!$C$9,$D$6:$H$6,0)))/AVERAGE($D$90:INDEX($D$90:$H$90,0,MATCH('RFPR cover'!$C$9,$D$6:$H$6,0))),0)</f>
        <v>-4.2203382833747792E-5</v>
      </c>
      <c r="K16" s="402">
        <f t="shared" si="2"/>
        <v>-3.9834862153504186E-5</v>
      </c>
    </row>
    <row r="17" spans="1:13">
      <c r="A17" s="79" t="s">
        <v>230</v>
      </c>
      <c r="B17" s="844" t="str">
        <f t="shared" si="3"/>
        <v xml:space="preserve">Quality of connections satisfaction survey ODI </v>
      </c>
      <c r="C17" s="843" t="s">
        <v>225</v>
      </c>
      <c r="D17" s="676">
        <f>IFERROR(ODI_4/NPV_neutral_equity_element_of_RAV,0)</f>
        <v>3.7804491776845448E-5</v>
      </c>
      <c r="E17" s="676">
        <f>IFERROR(ODI_4/NPV_neutral_equity_element_of_RAV,0)</f>
        <v>0</v>
      </c>
      <c r="F17" s="676">
        <f>IFERROR(ODI_4/NPV_neutral_equity_element_of_RAV,0)</f>
        <v>0</v>
      </c>
      <c r="G17" s="676">
        <f>IFERROR(ODI_4/NPV_neutral_equity_element_of_RAV,0)</f>
        <v>0</v>
      </c>
      <c r="H17" s="676">
        <f>IFERROR(ODI_4/NPV_neutral_equity_element_of_RAV,0)</f>
        <v>0</v>
      </c>
      <c r="I17" s="81"/>
      <c r="J17" s="402">
        <f>IFERROR(AVERAGE(D71:INDEX(D71:H71,0,MATCH('RFPR cover'!$C$9,$D$6:$H$6,0)))/AVERAGE($D$90:INDEX($D$90:$H$90,0,MATCH('RFPR cover'!$C$9,$D$6:$H$6,0))),0)</f>
        <v>3.7804491776845448E-5</v>
      </c>
      <c r="K17" s="402">
        <f t="shared" si="2"/>
        <v>7.1365687658085256E-6</v>
      </c>
    </row>
    <row r="18" spans="1:13">
      <c r="A18" s="79" t="s">
        <v>231</v>
      </c>
      <c r="B18" s="844" t="str">
        <f t="shared" si="3"/>
        <v>SO-TO Optimisation ODI</v>
      </c>
      <c r="C18" s="843" t="s">
        <v>225</v>
      </c>
      <c r="D18" s="676">
        <f>IFERROR(ODI_5/NPV_neutral_equity_element_of_RAV,0)</f>
        <v>7.949547801816728E-4</v>
      </c>
      <c r="E18" s="676">
        <f>IFERROR(ODI_5/NPV_neutral_equity_element_of_RAV,0)</f>
        <v>0</v>
      </c>
      <c r="F18" s="676">
        <f>IFERROR(ODI_5/NPV_neutral_equity_element_of_RAV,0)</f>
        <v>0</v>
      </c>
      <c r="G18" s="676">
        <f>IFERROR(ODI_5/NPV_neutral_equity_element_of_RAV,0)</f>
        <v>0</v>
      </c>
      <c r="H18" s="676">
        <f>IFERROR(ODI_5/NPV_neutral_equity_element_of_RAV,0)</f>
        <v>0</v>
      </c>
      <c r="I18" s="81"/>
      <c r="J18" s="402">
        <f>IFERROR(AVERAGE(D72:INDEX(D72:H72,0,MATCH('RFPR cover'!$C$9,$D$6:$H$6,0)))/AVERAGE($D$90:INDEX($D$90:$H$90,0,MATCH('RFPR cover'!$C$9,$D$6:$H$6,0))),0)</f>
        <v>7.949547801816728E-4</v>
      </c>
      <c r="K18" s="402">
        <f t="shared" si="2"/>
        <v>1.5006813179669481E-4</v>
      </c>
    </row>
    <row r="19" spans="1:13">
      <c r="A19" s="79" t="s">
        <v>232</v>
      </c>
      <c r="B19" s="844" t="str">
        <f>B73</f>
        <v xml:space="preserve">Environmental scorecard ODI </v>
      </c>
      <c r="C19" s="843" t="s">
        <v>225</v>
      </c>
      <c r="D19" s="676">
        <f>IFERROR(ODI_6/NPV_neutral_equity_element_of_RAV,0)</f>
        <v>8.2494897938919644E-5</v>
      </c>
      <c r="E19" s="676">
        <f>IFERROR(ODI_6/NPV_neutral_equity_element_of_RAV,0)</f>
        <v>1.7448565902468868E-4</v>
      </c>
      <c r="F19" s="676">
        <f>IFERROR(ODI_6/NPV_neutral_equity_element_of_RAV,0)</f>
        <v>1.68794389599984E-4</v>
      </c>
      <c r="G19" s="676">
        <f>IFERROR(ODI_6/NPV_neutral_equity_element_of_RAV,0)</f>
        <v>1.6446640292374666E-4</v>
      </c>
      <c r="H19" s="676">
        <f>IFERROR(ODI_6/NPV_neutral_equity_element_of_RAV,0)</f>
        <v>1.6029147921883667E-4</v>
      </c>
      <c r="I19" s="81"/>
      <c r="J19" s="402">
        <f>IFERROR(AVERAGE(D73:INDEX(D73:H73,0,MATCH('RFPR cover'!$C$9,$D$6:$H$6,0)))/AVERAGE($D$90:INDEX($D$90:$H$90,0,MATCH('RFPR cover'!$C$9,$D$6:$H$6,0))),0)</f>
        <v>8.2494897938919644E-5</v>
      </c>
      <c r="K19" s="402">
        <f t="shared" si="2"/>
        <v>1.5092039612632318E-4</v>
      </c>
    </row>
    <row r="20" spans="1:13">
      <c r="A20" s="79" t="s">
        <v>233</v>
      </c>
      <c r="B20" s="844" t="str">
        <f t="shared" ref="B20" si="4">B74</f>
        <v>Network innovation input for RORE</v>
      </c>
      <c r="C20" s="843" t="s">
        <v>225</v>
      </c>
      <c r="D20" s="676">
        <f>IFERROR(ORA_1/NPV_neutral_equity_element_of_RAV,0)</f>
        <v>-3.7944762002109734E-5</v>
      </c>
      <c r="E20" s="676">
        <f>IFERROR(ORA_1/NPV_neutral_equity_element_of_RAV,0)</f>
        <v>-8.6520903542259111E-5</v>
      </c>
      <c r="F20" s="676">
        <f>IFERROR(ORA_1/NPV_neutral_equity_element_of_RAV,0)</f>
        <v>-2.5848527135895021E-4</v>
      </c>
      <c r="G20" s="676">
        <f>IFERROR(ORA_1/NPV_neutral_equity_element_of_RAV,0)</f>
        <v>-2.5539503090215025E-4</v>
      </c>
      <c r="H20" s="676">
        <f>IFERROR(ORA_1/NPV_neutral_equity_element_of_RAV,0)</f>
        <v>-1.78970532558468E-4</v>
      </c>
      <c r="I20" s="81"/>
      <c r="J20" s="402">
        <f>IFERROR(AVERAGE(D74:INDEX(D74:H74,0,MATCH('RFPR cover'!$C$9,$D$6:$H$6,0)))/AVERAGE($D$90:INDEX($D$90:$H$90,0,MATCH('RFPR cover'!$C$9,$D$6:$H$6,0))),0)</f>
        <v>-3.7944762002109734E-5</v>
      </c>
      <c r="K20" s="402">
        <f t="shared" si="2"/>
        <v>-1.6608795112877192E-4</v>
      </c>
    </row>
    <row r="21" spans="1:13" ht="14" thickBot="1">
      <c r="A21" s="79" t="s">
        <v>234</v>
      </c>
      <c r="B21" s="844" t="str">
        <f t="shared" ref="B21" si="5">B75</f>
        <v>Carry-over Network innovation input for RORE</v>
      </c>
      <c r="C21" s="843" t="s">
        <v>225</v>
      </c>
      <c r="D21" s="676">
        <f>IFERROR(ORA_2/NPV_neutral_equity_element_of_RAV,0)</f>
        <v>-1.1658212504993992E-5</v>
      </c>
      <c r="E21" s="676">
        <f>IFERROR(ORA_2/NPV_neutral_equity_element_of_RAV,0)</f>
        <v>0</v>
      </c>
      <c r="F21" s="676">
        <f>IFERROR(ORA_2/NPV_neutral_equity_element_of_RAV,0)</f>
        <v>0</v>
      </c>
      <c r="G21" s="676">
        <f>IFERROR(ORA_2/NPV_neutral_equity_element_of_RAV,0)</f>
        <v>0</v>
      </c>
      <c r="H21" s="676">
        <f>IFERROR(ORA_2/NPV_neutral_equity_element_of_RAV,0)</f>
        <v>0</v>
      </c>
      <c r="I21" s="81"/>
      <c r="J21" s="831">
        <f>IFERROR(AVERAGE(D75:INDEX(D75:H75,0,MATCH('RFPR cover'!$C$9,$D$6:$H$6,0)))/AVERAGE($D$90:INDEX($D$90:$H$90,0,MATCH('RFPR cover'!$C$9,$D$6:$H$6,0))),0)</f>
        <v>-1.1658212504993992E-5</v>
      </c>
      <c r="K21" s="831">
        <f t="shared" si="2"/>
        <v>-2.2007870313245879E-6</v>
      </c>
    </row>
    <row r="22" spans="1:13">
      <c r="A22" s="79" t="s">
        <v>235</v>
      </c>
      <c r="B22" s="844" t="str">
        <f t="shared" ref="B22:B27" si="6">B76</f>
        <v>Strategic innovation input for RORE</v>
      </c>
      <c r="C22" s="843" t="s">
        <v>225</v>
      </c>
      <c r="D22" s="676">
        <f>IFERROR(ORA_3/NPV_neutral_equity_element_of_RAV,0)</f>
        <v>0</v>
      </c>
      <c r="E22" s="676">
        <f>IFERROR(ORA_3/NPV_neutral_equity_element_of_RAV,0)</f>
        <v>0</v>
      </c>
      <c r="F22" s="676">
        <f>IFERROR(ORA_3/NPV_neutral_equity_element_of_RAV,0)</f>
        <v>0</v>
      </c>
      <c r="G22" s="676">
        <f>IFERROR(ORA_3/NPV_neutral_equity_element_of_RAV,0)</f>
        <v>0</v>
      </c>
      <c r="H22" s="676">
        <f>IFERROR(ORA_3/NPV_neutral_equity_element_of_RAV,0)</f>
        <v>0</v>
      </c>
      <c r="I22" s="81"/>
      <c r="J22" s="1268">
        <f>IFERROR(AVERAGE(D76:INDEX(D76:H76,0,MATCH('RFPR cover'!$C$9,$D$6:$H$6,0)))/AVERAGE($D$90:INDEX($D$90:$H$90,0,MATCH('RFPR cover'!$C$9,$D$6:$H$6,0))),0)</f>
        <v>0</v>
      </c>
      <c r="K22" s="1269">
        <f t="shared" ref="K22:K28" si="7">IFERROR(AVERAGE(D76:H76)/AVERAGE($D$90:$H$90),0)</f>
        <v>0</v>
      </c>
    </row>
    <row r="23" spans="1:13">
      <c r="A23" s="79" t="s">
        <v>236</v>
      </c>
      <c r="B23" s="844" t="str">
        <f t="shared" si="6"/>
        <v/>
      </c>
      <c r="C23" s="843" t="s">
        <v>225</v>
      </c>
      <c r="D23" s="676">
        <f>IFERROR(ORA_4/NPV_neutral_equity_element_of_RAV,0)</f>
        <v>0</v>
      </c>
      <c r="E23" s="676">
        <f>IFERROR(ORA_4/NPV_neutral_equity_element_of_RAV,0)</f>
        <v>0</v>
      </c>
      <c r="F23" s="676">
        <f>IFERROR(ORA_4/NPV_neutral_equity_element_of_RAV,0)</f>
        <v>0</v>
      </c>
      <c r="G23" s="676">
        <f>IFERROR(ORA_4/NPV_neutral_equity_element_of_RAV,0)</f>
        <v>0</v>
      </c>
      <c r="H23" s="676">
        <f>IFERROR(ORA_4/NPV_neutral_equity_element_of_RAV,0)</f>
        <v>0</v>
      </c>
      <c r="I23" s="81"/>
      <c r="J23" s="1270">
        <f>IFERROR(AVERAGE(D77:INDEX(D77:H77,0,MATCH('RFPR cover'!$C$9,$D$6:$H$6,0)))/AVERAGE($D$90:INDEX($D$90:$H$90,0,MATCH('RFPR cover'!$C$9,$D$6:$H$6,0))),0)</f>
        <v>0</v>
      </c>
      <c r="K23" s="1271">
        <f t="shared" si="7"/>
        <v>0</v>
      </c>
    </row>
    <row r="24" spans="1:13">
      <c r="A24" s="79" t="s">
        <v>237</v>
      </c>
      <c r="B24" s="844" t="str">
        <f t="shared" si="6"/>
        <v/>
      </c>
      <c r="C24" s="843" t="s">
        <v>225</v>
      </c>
      <c r="D24" s="676">
        <f>IFERROR(ORA_5/NPV_neutral_equity_element_of_RAV,0)</f>
        <v>0</v>
      </c>
      <c r="E24" s="676">
        <f>IFERROR(ORA_5/NPV_neutral_equity_element_of_RAV,0)</f>
        <v>0</v>
      </c>
      <c r="F24" s="676">
        <f>IFERROR(ORA_5/NPV_neutral_equity_element_of_RAV,0)</f>
        <v>0</v>
      </c>
      <c r="G24" s="676">
        <f>IFERROR(ORA_5/NPV_neutral_equity_element_of_RAV,0)</f>
        <v>0</v>
      </c>
      <c r="H24" s="676">
        <f>IFERROR(ORA_5/NPV_neutral_equity_element_of_RAV,0)</f>
        <v>0</v>
      </c>
      <c r="I24" s="81"/>
      <c r="J24" s="1270">
        <f>IFERROR(AVERAGE(D78:INDEX(D78:H78,0,MATCH('RFPR cover'!$C$9,$D$6:$H$6,0)))/AVERAGE($D$90:INDEX($D$90:$H$90,0,MATCH('RFPR cover'!$C$9,$D$6:$H$6,0))),0)</f>
        <v>0</v>
      </c>
      <c r="K24" s="1271">
        <f t="shared" si="7"/>
        <v>0</v>
      </c>
    </row>
    <row r="25" spans="1:13">
      <c r="A25" s="79" t="s">
        <v>238</v>
      </c>
      <c r="B25" s="844" t="str">
        <f t="shared" si="6"/>
        <v/>
      </c>
      <c r="C25" s="843" t="s">
        <v>225</v>
      </c>
      <c r="D25" s="676">
        <f>IFERROR(ORA_6/NPV_neutral_equity_element_of_RAV,0)</f>
        <v>0</v>
      </c>
      <c r="E25" s="676">
        <f>IFERROR(ORA_6/NPV_neutral_equity_element_of_RAV,0)</f>
        <v>0</v>
      </c>
      <c r="F25" s="676">
        <f>IFERROR(ORA_6/NPV_neutral_equity_element_of_RAV,0)</f>
        <v>0</v>
      </c>
      <c r="G25" s="676">
        <f>IFERROR(ORA_6/NPV_neutral_equity_element_of_RAV,0)</f>
        <v>0</v>
      </c>
      <c r="H25" s="676">
        <f>IFERROR(ORA_6/NPV_neutral_equity_element_of_RAV,0)</f>
        <v>0</v>
      </c>
      <c r="I25" s="81"/>
      <c r="J25" s="1270">
        <f>IFERROR(AVERAGE(D79:INDEX(D79:H79,0,MATCH('RFPR cover'!$C$9,$D$6:$H$6,0)))/AVERAGE($D$90:INDEX($D$90:$H$90,0,MATCH('RFPR cover'!$C$9,$D$6:$H$6,0))),0)</f>
        <v>0</v>
      </c>
      <c r="K25" s="1271">
        <f t="shared" si="7"/>
        <v>0</v>
      </c>
    </row>
    <row r="26" spans="1:13">
      <c r="A26" s="79" t="s">
        <v>239</v>
      </c>
      <c r="B26" s="844" t="str">
        <f t="shared" si="6"/>
        <v/>
      </c>
      <c r="C26" s="843" t="s">
        <v>225</v>
      </c>
      <c r="D26" s="676">
        <f>IFERROR(ORA_7/NPV_neutral_equity_element_of_RAV,0)</f>
        <v>0</v>
      </c>
      <c r="E26" s="676">
        <f>IFERROR(ORA_7/NPV_neutral_equity_element_of_RAV,0)</f>
        <v>0</v>
      </c>
      <c r="F26" s="676">
        <f>IFERROR(ORA_7/NPV_neutral_equity_element_of_RAV,0)</f>
        <v>0</v>
      </c>
      <c r="G26" s="676">
        <f>IFERROR(ORA_7/NPV_neutral_equity_element_of_RAV,0)</f>
        <v>0</v>
      </c>
      <c r="H26" s="676">
        <f>IFERROR(ORA_7/NPV_neutral_equity_element_of_RAV,0)</f>
        <v>0</v>
      </c>
      <c r="I26" s="81"/>
      <c r="J26" s="1270">
        <f>IFERROR(AVERAGE(D80:INDEX(D80:H80,0,MATCH('RFPR cover'!$C$9,$D$6:$H$6,0)))/AVERAGE($D$90:INDEX($D$90:$H$90,0,MATCH('RFPR cover'!$C$9,$D$6:$H$6,0))),0)</f>
        <v>0</v>
      </c>
      <c r="K26" s="1271">
        <f t="shared" si="7"/>
        <v>0</v>
      </c>
    </row>
    <row r="27" spans="1:13">
      <c r="A27" s="79" t="s">
        <v>240</v>
      </c>
      <c r="B27" s="844" t="str">
        <f t="shared" si="6"/>
        <v/>
      </c>
      <c r="C27" s="843" t="s">
        <v>225</v>
      </c>
      <c r="D27" s="676">
        <f>IFERROR(ORA_8/NPV_neutral_equity_element_of_RAV,0)</f>
        <v>0</v>
      </c>
      <c r="E27" s="676">
        <f>IFERROR(ORA_8/NPV_neutral_equity_element_of_RAV,0)</f>
        <v>0</v>
      </c>
      <c r="F27" s="676">
        <f>IFERROR(ORA_8/NPV_neutral_equity_element_of_RAV,0)</f>
        <v>0</v>
      </c>
      <c r="G27" s="676">
        <f>IFERROR(ORA_8/NPV_neutral_equity_element_of_RAV,0)</f>
        <v>0</v>
      </c>
      <c r="H27" s="676">
        <f>IFERROR(ORA_8/NPV_neutral_equity_element_of_RAV,0)</f>
        <v>0</v>
      </c>
      <c r="I27" s="81"/>
      <c r="J27" s="1270">
        <f>IFERROR(AVERAGE(D81:INDEX(D81:H81,0,MATCH('RFPR cover'!$C$9,$D$6:$H$6,0)))/AVERAGE($D$90:INDEX($D$90:$H$90,0,MATCH('RFPR cover'!$C$9,$D$6:$H$6,0))),0)</f>
        <v>0</v>
      </c>
      <c r="K27" s="1271">
        <f t="shared" si="7"/>
        <v>0</v>
      </c>
    </row>
    <row r="28" spans="1:13" ht="14" thickBot="1">
      <c r="B28" s="844" t="str">
        <f t="shared" ref="B28:B30" si="8">B82</f>
        <v>Penalties and fines (Other Activities)</v>
      </c>
      <c r="C28" s="843" t="s">
        <v>225</v>
      </c>
      <c r="D28" s="826">
        <f>IFERROR(Penalties_and_fines/NPV_neutral_equity_element_of_RAV,0)</f>
        <v>0</v>
      </c>
      <c r="E28" s="826">
        <f>IFERROR(Penalties_and_fines/NPV_neutral_equity_element_of_RAV,0)</f>
        <v>0</v>
      </c>
      <c r="F28" s="826">
        <f>IFERROR(Penalties_and_fines/NPV_neutral_equity_element_of_RAV,0)</f>
        <v>0</v>
      </c>
      <c r="G28" s="826">
        <f>IFERROR(Penalties_and_fines/NPV_neutral_equity_element_of_RAV,0)</f>
        <v>0</v>
      </c>
      <c r="H28" s="826">
        <f>IFERROR(Penalties_and_fines/NPV_neutral_equity_element_of_RAV,0)</f>
        <v>0</v>
      </c>
      <c r="I28" s="81"/>
      <c r="J28" s="1272">
        <f>IFERROR(AVERAGE(D82:INDEX(D82:H82,0,MATCH('RFPR cover'!$C$9,$D$6:$H$6,0)))/AVERAGE($D$90:INDEX($D$90:$H$90,0,MATCH('RFPR cover'!$C$9,$D$6:$H$6,0))),0)</f>
        <v>0</v>
      </c>
      <c r="K28" s="1273">
        <f t="shared" si="7"/>
        <v>0</v>
      </c>
    </row>
    <row r="29" spans="1:13" ht="14" thickBot="1">
      <c r="B29" s="845" t="str">
        <f t="shared" si="8"/>
        <v>RoRE - Operational performance</v>
      </c>
      <c r="C29" s="393" t="s">
        <v>225</v>
      </c>
      <c r="D29" s="828">
        <f>SUM(D11:D28)</f>
        <v>5.3806068854428346E-2</v>
      </c>
      <c r="E29" s="829">
        <f t="shared" ref="E29:H29" si="9">SUM(E11:E28)</f>
        <v>5.3224873909772957E-2</v>
      </c>
      <c r="F29" s="829">
        <f t="shared" si="9"/>
        <v>4.5429969364436273E-2</v>
      </c>
      <c r="G29" s="829">
        <f t="shared" si="9"/>
        <v>4.8307320662761478E-2</v>
      </c>
      <c r="H29" s="830">
        <f t="shared" si="9"/>
        <v>4.9201463987825197E-2</v>
      </c>
      <c r="I29" s="82"/>
      <c r="J29" s="1267">
        <f>SUM(J11:J28)</f>
        <v>5.3806068854428346E-2</v>
      </c>
      <c r="K29" s="1335">
        <f>SUM(K11:K28)</f>
        <v>4.9910870003407166E-2</v>
      </c>
      <c r="M29" s="858"/>
    </row>
    <row r="30" spans="1:13">
      <c r="B30" s="844" t="str">
        <f t="shared" si="8"/>
        <v>Debt performance - at notional gearing</v>
      </c>
      <c r="C30" s="843" t="s">
        <v>225</v>
      </c>
      <c r="D30" s="827">
        <f>IFERROR(Debt_performance___at_notional_gearing/NPV_neutral_equity_element_of_RAV,0)</f>
        <v>3.6664160871170567E-2</v>
      </c>
      <c r="E30" s="827">
        <f>IFERROR(Debt_performance___at_notional_gearing/NPV_neutral_equity_element_of_RAV,0)</f>
        <v>6.1558194177576402E-2</v>
      </c>
      <c r="F30" s="827">
        <f>IFERROR(Debt_performance___at_notional_gearing/NPV_neutral_equity_element_of_RAV,0)</f>
        <v>1.9734522098914541E-2</v>
      </c>
      <c r="G30" s="827">
        <f>IFERROR(Debt_performance___at_notional_gearing/NPV_neutral_equity_element_of_RAV,0)</f>
        <v>4.7662453909635078E-3</v>
      </c>
      <c r="H30" s="827">
        <f>IFERROR(Debt_performance___at_notional_gearing/NPV_neutral_equity_element_of_RAV,0)</f>
        <v>5.8763540164633293E-3</v>
      </c>
      <c r="I30" s="81"/>
      <c r="J30" s="832">
        <f>IFERROR(AVERAGE(D84:INDEX(D84:H84,0,MATCH('RFPR cover'!$C$9,$D$6:$H$6,0)))/AVERAGE($D$90:INDEX($D$90:$H$90,0,MATCH('RFPR cover'!$C$9,$D$6:$H$6,0))),0)</f>
        <v>3.6664160871170567E-2</v>
      </c>
      <c r="K30" s="832">
        <f>IFERROR(AVERAGE(D84:H84)/AVERAGE($D$90:$H$90),0)</f>
        <v>2.5032167952908572E-2</v>
      </c>
    </row>
    <row r="31" spans="1:13" ht="14" thickBot="1">
      <c r="B31" s="844" t="str">
        <f>B86</f>
        <v>Tax performance - at notional gearing</v>
      </c>
      <c r="C31" s="843" t="s">
        <v>225</v>
      </c>
      <c r="D31" s="826">
        <f>IFERROR(Tax_performance___at_notional_gearing/NPV_neutral_equity_element_of_RAV,0)</f>
        <v>-5.811220887085365E-3</v>
      </c>
      <c r="E31" s="826">
        <f>IFERROR(Tax_performance___at_notional_gearing/NPV_neutral_equity_element_of_RAV,0)</f>
        <v>-9.5752278469542363E-3</v>
      </c>
      <c r="F31" s="826">
        <f>IFERROR(Tax_performance___at_notional_gearing/NPV_neutral_equity_element_of_RAV,0)</f>
        <v>-3.9197013898811086E-3</v>
      </c>
      <c r="G31" s="826">
        <f>IFERROR(Tax_performance___at_notional_gearing/NPV_neutral_equity_element_of_RAV,0)</f>
        <v>-9.6117748009860889E-4</v>
      </c>
      <c r="H31" s="826">
        <f>IFERROR(Tax_performance___at_notional_gearing/NPV_neutral_equity_element_of_RAV,0)</f>
        <v>-1.1756872949123542E-3</v>
      </c>
      <c r="I31" s="81"/>
      <c r="J31" s="86">
        <f>IFERROR(AVERAGE(D86:INDEX(D86:H86,0,MATCH('RFPR cover'!$C$9,$D$6:$H$6,0)))/AVERAGE($D$90:INDEX($D$90:$H$90,0,MATCH('RFPR cover'!$C$9,$D$6:$H$6,0))),0)</f>
        <v>-5.811220887085365E-3</v>
      </c>
      <c r="K31" s="86">
        <f>IFERROR(AVERAGE(D86:H86)/AVERAGE($D$90:$H$90),0)</f>
        <v>-4.1849533252207713E-3</v>
      </c>
    </row>
    <row r="32" spans="1:13" ht="14" thickBot="1">
      <c r="B32" s="845" t="str">
        <f>B88</f>
        <v>RoRE - including financing and tax</v>
      </c>
      <c r="C32" s="393" t="s">
        <v>225</v>
      </c>
      <c r="D32" s="828">
        <f>SUM(D29:D31)</f>
        <v>8.4659008838513544E-2</v>
      </c>
      <c r="E32" s="829">
        <f t="shared" ref="E32:H32" si="10">SUM(E29:E31)</f>
        <v>0.10520784024039513</v>
      </c>
      <c r="F32" s="829">
        <f t="shared" si="10"/>
        <v>6.124479007346971E-2</v>
      </c>
      <c r="G32" s="829">
        <f t="shared" si="10"/>
        <v>5.2112388573626378E-2</v>
      </c>
      <c r="H32" s="830">
        <f t="shared" si="10"/>
        <v>5.3902130709376175E-2</v>
      </c>
      <c r="I32" s="82"/>
      <c r="J32" s="833">
        <f>SUM(J29:J31)</f>
        <v>8.4659008838513544E-2</v>
      </c>
      <c r="K32" s="830">
        <f>SUM(K29:K31)</f>
        <v>7.0758084631094967E-2</v>
      </c>
    </row>
    <row r="36" spans="1:13">
      <c r="B36" s="415" t="s">
        <v>241</v>
      </c>
      <c r="C36" s="99"/>
      <c r="D36" s="99"/>
      <c r="E36" s="99"/>
      <c r="F36" s="99"/>
      <c r="G36" s="99"/>
      <c r="H36" s="99"/>
      <c r="I36" s="416"/>
      <c r="J36" s="99"/>
      <c r="K36" s="99"/>
      <c r="L36" s="99"/>
    </row>
    <row r="37" spans="1:13">
      <c r="B37" s="90"/>
      <c r="I37" s="28"/>
    </row>
    <row r="38" spans="1:13">
      <c r="B38" s="844" t="s">
        <v>224</v>
      </c>
      <c r="C38" s="843" t="s">
        <v>225</v>
      </c>
      <c r="D38" s="676">
        <f>IFERROR(Equity_Return_on_the_RAV/Equity_RAV_based_on_actual_gearing,0)</f>
        <v>4.0974017901610496E-2</v>
      </c>
      <c r="E38" s="676">
        <f>IFERROR(Equity_Return_on_the_RAV/Equity_RAV_based_on_actual_gearing,0)</f>
        <v>4.0461204734605523E-2</v>
      </c>
      <c r="F38" s="676">
        <f>IFERROR(Equity_Return_on_the_RAV/Equity_RAV_based_on_actual_gearing,0)</f>
        <v>4.1674952437662623E-2</v>
      </c>
      <c r="G38" s="676">
        <f>IFERROR(Equity_Return_on_the_RAV/Equity_RAV_based_on_actual_gearing,0)</f>
        <v>4.1899441677222211E-2</v>
      </c>
      <c r="H38" s="676">
        <f>IFERROR(Equity_Return_on_the_RAV/Equity_RAV_based_on_actual_gearing,0)</f>
        <v>4.2264770936632771E-2</v>
      </c>
      <c r="I38" s="81"/>
      <c r="J38" s="83">
        <f>IFERROR(AVERAGE(D65:INDEX(D65:H65,0,MATCH('RFPR cover'!$C$9,$D$6:$H$6,0)))/AVERAGE($D$91:INDEX($D$91:$H$91,0,MATCH('RFPR cover'!$C$9,$D$6:$H$6,0))),0)</f>
        <v>4.0974017901610496E-2</v>
      </c>
      <c r="K38" s="402">
        <f t="shared" ref="K38:K48" si="11">IFERROR(AVERAGE(D65:H65)/AVERAGE($D$91:$H$91),0)</f>
        <v>4.1468091444501649E-2</v>
      </c>
      <c r="M38" s="131"/>
    </row>
    <row r="39" spans="1:13">
      <c r="B39" s="844" t="str">
        <f t="shared" ref="B39:B46" si="12">B66</f>
        <v>Totex outperformance</v>
      </c>
      <c r="C39" s="843" t="s">
        <v>225</v>
      </c>
      <c r="D39" s="676">
        <f>IFERROR(Totex_outperformance/Equity_RAV_based_on_actual_gearing,0)</f>
        <v>1.1807380390117261E-2</v>
      </c>
      <c r="E39" s="676">
        <f>IFERROR(Totex_outperformance/Equity_RAV_based_on_actual_gearing,0)</f>
        <v>1.1695405236425194E-2</v>
      </c>
      <c r="F39" s="676">
        <f>IFERROR(Totex_outperformance/Equity_RAV_based_on_actual_gearing,0)</f>
        <v>4.7919557805770636E-3</v>
      </c>
      <c r="G39" s="676">
        <f>IFERROR(Totex_outperformance/Equity_RAV_based_on_actual_gearing,0)</f>
        <v>7.6533426649849114E-3</v>
      </c>
      <c r="H39" s="676">
        <f>IFERROR(Totex_outperformance/Equity_RAV_based_on_actual_gearing,0)</f>
        <v>8.2965435087027466E-3</v>
      </c>
      <c r="I39" s="81"/>
      <c r="J39" s="83">
        <f>IFERROR(AVERAGE(D66:INDEX(D66:H66,0,MATCH('RFPR cover'!$C$9,$D$6:$H$6,0)))/AVERAGE($D$91:INDEX($D$91:$H$91,0,MATCH('RFPR cover'!$C$9,$D$6:$H$6,0))),0)</f>
        <v>1.1807380390117261E-2</v>
      </c>
      <c r="K39" s="402">
        <f t="shared" si="11"/>
        <v>8.8148883556133217E-3</v>
      </c>
    </row>
    <row r="40" spans="1:13">
      <c r="A40" s="79" t="s">
        <v>226</v>
      </c>
      <c r="B40" s="844" t="str">
        <f t="shared" si="12"/>
        <v>Business Plan Incentive</v>
      </c>
      <c r="C40" s="843" t="s">
        <v>225</v>
      </c>
      <c r="D40" s="676">
        <f>IFERROR(Business_Plan_Incentive/Equity_RAV_based_on_actual_gearing,0)</f>
        <v>-2.0163019712772165E-3</v>
      </c>
      <c r="E40" s="676">
        <f>IFERROR(Business_Plan_Incentive/Equity_RAV_based_on_actual_gearing,0)</f>
        <v>-1.930722946411679E-3</v>
      </c>
      <c r="F40" s="676">
        <f>IFERROR(Business_Plan_Incentive/Equity_RAV_based_on_actual_gearing,0)</f>
        <v>-1.9340918708534089E-3</v>
      </c>
      <c r="G40" s="676">
        <f>IFERROR(Business_Plan_Incentive/Equity_RAV_based_on_actual_gearing,0)</f>
        <v>-1.8865963415280144E-3</v>
      </c>
      <c r="H40" s="676">
        <f>IFERROR(Business_Plan_Incentive/Equity_RAV_based_on_actual_gearing,0)</f>
        <v>-1.848647696507469E-3</v>
      </c>
      <c r="I40" s="81"/>
      <c r="J40" s="83">
        <f>IFERROR(AVERAGE(D67:INDEX(D67:H67,0,MATCH('RFPR cover'!$C$9,$D$6:$H$6,0)))/AVERAGE($D$91:INDEX($D$91:$H$91,0,MATCH('RFPR cover'!$C$9,$D$6:$H$6,0))),0)</f>
        <v>-2.0163019712772165E-3</v>
      </c>
      <c r="K40" s="402">
        <f t="shared" si="11"/>
        <v>-1.9216521465290407E-3</v>
      </c>
    </row>
    <row r="41" spans="1:13">
      <c r="A41" s="79" t="s">
        <v>227</v>
      </c>
      <c r="B41" s="844" t="str">
        <f t="shared" si="12"/>
        <v xml:space="preserve">Energy not supplied ODI </v>
      </c>
      <c r="C41" s="843" t="s">
        <v>225</v>
      </c>
      <c r="D41" s="676">
        <f>IFERROR(ODI_1/Equity_RAV_based_on_actual_gearing,0)</f>
        <v>1.2935299788369847E-4</v>
      </c>
      <c r="E41" s="676">
        <f>IFERROR(ODI_1/Equity_RAV_based_on_actual_gearing,0)</f>
        <v>1.2386279672334913E-4</v>
      </c>
      <c r="F41" s="676">
        <f>IFERROR(ODI_1/Equity_RAV_based_on_actual_gearing,0)</f>
        <v>1.240789253005113E-4</v>
      </c>
      <c r="G41" s="676">
        <f>IFERROR(ODI_1/Equity_RAV_based_on_actual_gearing,0)</f>
        <v>1.2103191687031016E-4</v>
      </c>
      <c r="H41" s="676">
        <f>IFERROR(ODI_1/Equity_RAV_based_on_actual_gearing,0)</f>
        <v>1.1859737528429842E-4</v>
      </c>
      <c r="I41" s="81"/>
      <c r="J41" s="83">
        <f>IFERROR(AVERAGE(D68:INDEX(D68:H68,0,MATCH('RFPR cover'!$C$9,$D$6:$H$6,0)))/AVERAGE($D$91:INDEX($D$91:$H$91,0,MATCH('RFPR cover'!$C$9,$D$6:$H$6,0))),0)</f>
        <v>1.2935299788369847E-4</v>
      </c>
      <c r="K41" s="402">
        <f t="shared" si="11"/>
        <v>1.232808724011311E-4</v>
      </c>
    </row>
    <row r="42" spans="1:13">
      <c r="A42" s="79" t="s">
        <v>228</v>
      </c>
      <c r="B42" s="844" t="str">
        <f t="shared" si="12"/>
        <v xml:space="preserve">Insulation And Interruption Gas emissions ODI </v>
      </c>
      <c r="C42" s="843" t="s">
        <v>225</v>
      </c>
      <c r="D42" s="676">
        <f>IFERROR(ODI_2/Equity_RAV_based_on_actual_gearing,0)</f>
        <v>2.5868472113285728E-4</v>
      </c>
      <c r="E42" s="676">
        <f>IFERROR(ODI_2/Equity_RAV_based_on_actual_gearing,0)</f>
        <v>1.3930093352938622E-4</v>
      </c>
      <c r="F42" s="676">
        <f>IFERROR(ODI_2/Equity_RAV_based_on_actual_gearing,0)</f>
        <v>1.359977629045045E-4</v>
      </c>
      <c r="G42" s="676">
        <f>IFERROR(ODI_2/Equity_RAV_based_on_actual_gearing,0)</f>
        <v>-8.7605404862921128E-5</v>
      </c>
      <c r="H42" s="676">
        <f>IFERROR(ODI_2/Equity_RAV_based_on_actual_gearing,0)</f>
        <v>-5.8846384404572713E-5</v>
      </c>
      <c r="I42" s="81"/>
      <c r="J42" s="83">
        <f>IFERROR(AVERAGE(D69:INDEX(D69:H69,0,MATCH('RFPR cover'!$C$9,$D$6:$H$6,0)))/AVERAGE($D$91:INDEX($D$91:$H$91,0,MATCH('RFPR cover'!$C$9,$D$6:$H$6,0))),0)</f>
        <v>2.5868472113285728E-4</v>
      </c>
      <c r="K42" s="402">
        <f t="shared" si="11"/>
        <v>7.3981496247454352E-5</v>
      </c>
    </row>
    <row r="43" spans="1:13">
      <c r="A43" s="79" t="s">
        <v>229</v>
      </c>
      <c r="B43" s="844" t="str">
        <f t="shared" si="12"/>
        <v xml:space="preserve">Timely Connections ODI </v>
      </c>
      <c r="C43" s="843" t="s">
        <v>225</v>
      </c>
      <c r="D43" s="676">
        <f>IFERROR(ODI_3/Equity_RAV_based_on_actual_gearing,0)</f>
        <v>-4.0746102336227077E-5</v>
      </c>
      <c r="E43" s="676">
        <f>IFERROR(ODI_3/Equity_RAV_based_on_actual_gearing,0)</f>
        <v>-3.9016692875402676E-5</v>
      </c>
      <c r="F43" s="676">
        <f>IFERROR(ODI_3/Equity_RAV_based_on_actual_gearing,0)</f>
        <v>-3.9084773223495967E-5</v>
      </c>
      <c r="G43" s="676">
        <f>IFERROR(ODI_3/Equity_RAV_based_on_actual_gearing,0)</f>
        <v>-3.8124967735045286E-5</v>
      </c>
      <c r="H43" s="676">
        <f>IFERROR(ODI_3/Equity_RAV_based_on_actual_gearing,0)</f>
        <v>-3.7358088866921767E-5</v>
      </c>
      <c r="I43" s="81"/>
      <c r="J43" s="83">
        <f>IFERROR(AVERAGE(D70:INDEX(D70:H70,0,MATCH('RFPR cover'!$C$9,$D$6:$H$6,0)))/AVERAGE($D$91:INDEX($D$91:$H$91,0,MATCH('RFPR cover'!$C$9,$D$6:$H$6,0))),0)</f>
        <v>-4.0746102336227077E-5</v>
      </c>
      <c r="K43" s="402">
        <f t="shared" si="11"/>
        <v>-3.8833387127774362E-5</v>
      </c>
    </row>
    <row r="44" spans="1:13">
      <c r="A44" s="79" t="s">
        <v>230</v>
      </c>
      <c r="B44" s="844" t="str">
        <f t="shared" si="12"/>
        <v xml:space="preserve">Quality of connections satisfaction survey ODI </v>
      </c>
      <c r="C44" s="843" t="s">
        <v>225</v>
      </c>
      <c r="D44" s="676">
        <f>IFERROR(ODI_4/Equity_RAV_based_on_actual_gearing,0)</f>
        <v>3.6499104746566324E-5</v>
      </c>
      <c r="E44" s="676">
        <f>IFERROR(ODI_4/Equity_RAV_based_on_actual_gearing,0)</f>
        <v>0</v>
      </c>
      <c r="F44" s="676">
        <f>IFERROR(ODI_4/Equity_RAV_based_on_actual_gearing,0)</f>
        <v>0</v>
      </c>
      <c r="G44" s="676">
        <f>IFERROR(ODI_4/Equity_RAV_based_on_actual_gearing,0)</f>
        <v>0</v>
      </c>
      <c r="H44" s="676">
        <f>IFERROR(ODI_4/Equity_RAV_based_on_actual_gearing,0)</f>
        <v>0</v>
      </c>
      <c r="I44" s="81"/>
      <c r="J44" s="83">
        <f>IFERROR(AVERAGE(D71:INDEX(D71:H71,0,MATCH('RFPR cover'!$C$9,$D$6:$H$6,0)))/AVERAGE($D$91:INDEX($D$91:$H$91,0,MATCH('RFPR cover'!$C$9,$D$6:$H$6,0))),0)</f>
        <v>3.6499104746566324E-5</v>
      </c>
      <c r="K44" s="402">
        <f t="shared" si="11"/>
        <v>6.957150663122007E-6</v>
      </c>
    </row>
    <row r="45" spans="1:13">
      <c r="A45" s="79" t="s">
        <v>231</v>
      </c>
      <c r="B45" s="844" t="str">
        <f t="shared" si="12"/>
        <v>SO-TO Optimisation ODI</v>
      </c>
      <c r="C45" s="843" t="s">
        <v>225</v>
      </c>
      <c r="D45" s="676">
        <f>IFERROR(ODI_5/Equity_RAV_based_on_actual_gearing,0)</f>
        <v>7.6750503516636931E-4</v>
      </c>
      <c r="E45" s="676">
        <f>IFERROR(ODI_5/Equity_RAV_based_on_actual_gearing,0)</f>
        <v>0</v>
      </c>
      <c r="F45" s="676">
        <f>IFERROR(ODI_5/Equity_RAV_based_on_actual_gearing,0)</f>
        <v>0</v>
      </c>
      <c r="G45" s="676">
        <f>IFERROR(ODI_5/Equity_RAV_based_on_actual_gearing,0)</f>
        <v>0</v>
      </c>
      <c r="H45" s="676">
        <f>IFERROR(ODI_5/Equity_RAV_based_on_actual_gearing,0)</f>
        <v>0</v>
      </c>
      <c r="I45" s="81"/>
      <c r="J45" s="83">
        <f>IFERROR(AVERAGE(D72:INDEX(D72:H72,0,MATCH('RFPR cover'!$C$9,$D$6:$H$6,0)))/AVERAGE($D$91:INDEX($D$91:$H$91,0,MATCH('RFPR cover'!$C$9,$D$6:$H$6,0))),0)</f>
        <v>7.6750503516636931E-4</v>
      </c>
      <c r="K45" s="402">
        <f t="shared" si="11"/>
        <v>1.4629531878749755E-4</v>
      </c>
    </row>
    <row r="46" spans="1:13">
      <c r="A46" s="79" t="s">
        <v>232</v>
      </c>
      <c r="B46" s="844" t="str">
        <f t="shared" si="12"/>
        <v xml:space="preserve">Environmental scorecard ODI </v>
      </c>
      <c r="C46" s="843" t="s">
        <v>225</v>
      </c>
      <c r="D46" s="676">
        <f>IFERROR(ODI_6/Equity_RAV_based_on_actual_gearing,0)</f>
        <v>7.964635363182165E-5</v>
      </c>
      <c r="E46" s="676">
        <f>IFERROR(ODI_6/Equity_RAV_based_on_actual_gearing,0)</f>
        <v>1.6566276776779082E-4</v>
      </c>
      <c r="F46" s="676">
        <f>IFERROR(ODI_6/Equity_RAV_based_on_actual_gearing,0)</f>
        <v>1.6595448443735932E-4</v>
      </c>
      <c r="G46" s="676">
        <f>IFERROR(ODI_6/Equity_RAV_based_on_actual_gearing,0)</f>
        <v>1.6196275399047786E-4</v>
      </c>
      <c r="H46" s="676">
        <f>IFERROR(ODI_6/Equity_RAV_based_on_actual_gearing,0)</f>
        <v>1.5871174520395398E-4</v>
      </c>
      <c r="I46" s="81"/>
      <c r="J46" s="83">
        <f>IFERROR(AVERAGE(D73:INDEX(D73:H73,0,MATCH('RFPR cover'!$C$9,$D$6:$H$6,0)))/AVERAGE($D$91:INDEX($D$91:$H$91,0,MATCH('RFPR cover'!$C$9,$D$6:$H$6,0))),0)</f>
        <v>7.964635363182165E-5</v>
      </c>
      <c r="K46" s="402">
        <f t="shared" si="11"/>
        <v>1.4712615662296221E-4</v>
      </c>
    </row>
    <row r="47" spans="1:13">
      <c r="A47" s="79" t="s">
        <v>233</v>
      </c>
      <c r="B47" s="844" t="str">
        <f t="shared" ref="B47" si="13">B74</f>
        <v>Network innovation input for RORE</v>
      </c>
      <c r="C47" s="843" t="s">
        <v>225</v>
      </c>
      <c r="D47" s="676">
        <f>IFERROR(ORA_1/Equity_RAV_based_on_actual_gearing,0)</f>
        <v>-3.6634531448635657E-5</v>
      </c>
      <c r="E47" s="676">
        <f>IFERROR(ORA_1/Equity_RAV_based_on_actual_gearing,0)</f>
        <v>-8.2145962199407018E-5</v>
      </c>
      <c r="F47" s="676">
        <f>IFERROR(ORA_1/Equity_RAV_based_on_actual_gearing,0)</f>
        <v>-2.5413634922750761E-4</v>
      </c>
      <c r="G47" s="676">
        <f>IFERROR(ORA_1/Equity_RAV_based_on_actual_gearing,0)</f>
        <v>-2.5150718824667014E-4</v>
      </c>
      <c r="H47" s="676">
        <f>IFERROR(ORA_1/Equity_RAV_based_on_actual_gearing,0)</f>
        <v>-1.7720670930771186E-4</v>
      </c>
      <c r="I47" s="81"/>
      <c r="J47" s="83">
        <f>IFERROR(AVERAGE(D74:INDEX(D74:H74,0,MATCH('RFPR cover'!$C$9,$D$6:$H$6,0)))/AVERAGE($D$91:INDEX($D$91:$H$91,0,MATCH('RFPR cover'!$C$9,$D$6:$H$6,0))),0)</f>
        <v>-3.6634531448635657E-5</v>
      </c>
      <c r="K47" s="402">
        <f t="shared" si="11"/>
        <v>-1.6191238916776564E-4</v>
      </c>
    </row>
    <row r="48" spans="1:13" ht="14" thickBot="1">
      <c r="A48" s="79" t="s">
        <v>234</v>
      </c>
      <c r="B48" s="844" t="str">
        <f t="shared" ref="B48" si="14">B75</f>
        <v>Carry-over Network innovation input for RORE</v>
      </c>
      <c r="C48" s="843" t="s">
        <v>225</v>
      </c>
      <c r="D48" s="676">
        <f>IFERROR(ORA_2/Equity_RAV_based_on_actual_gearing,0)</f>
        <v>-1.125565506578572E-5</v>
      </c>
      <c r="E48" s="676">
        <f>IFERROR(ORA_2/Equity_RAV_based_on_actual_gearing,0)</f>
        <v>0</v>
      </c>
      <c r="F48" s="676">
        <f>IFERROR(ORA_2/Equity_RAV_based_on_actual_gearing,0)</f>
        <v>0</v>
      </c>
      <c r="G48" s="676">
        <f>IFERROR(ORA_2/Equity_RAV_based_on_actual_gearing,0)</f>
        <v>0</v>
      </c>
      <c r="H48" s="676">
        <f>IFERROR(ORA_2/Equity_RAV_based_on_actual_gearing,0)</f>
        <v>0</v>
      </c>
      <c r="I48" s="81"/>
      <c r="J48" s="86">
        <f>IFERROR(AVERAGE(D75:INDEX(D75:H75,0,MATCH('RFPR cover'!$C$9,$D$6:$H$6,0)))/AVERAGE($D$91:INDEX($D$91:$H$91,0,MATCH('RFPR cover'!$C$9,$D$6:$H$6,0))),0)</f>
        <v>-1.125565506578572E-5</v>
      </c>
      <c r="K48" s="831">
        <f t="shared" si="11"/>
        <v>-2.1454577762532796E-6</v>
      </c>
    </row>
    <row r="49" spans="1:12">
      <c r="A49" s="79" t="s">
        <v>235</v>
      </c>
      <c r="B49" s="1117" t="str">
        <f>B76</f>
        <v>Strategic innovation input for RORE</v>
      </c>
      <c r="C49" s="843" t="s">
        <v>225</v>
      </c>
      <c r="D49" s="676">
        <f>IFERROR(ORA_3/Equity_RAV_based_on_actual_gearing,0)</f>
        <v>0</v>
      </c>
      <c r="E49" s="676">
        <f>IFERROR(ORA_3/Equity_RAV_based_on_actual_gearing,0)</f>
        <v>0</v>
      </c>
      <c r="F49" s="676">
        <f>IFERROR(ORA_3/Equity_RAV_based_on_actual_gearing,0)</f>
        <v>0</v>
      </c>
      <c r="G49" s="676">
        <f>IFERROR(ORA_3/Equity_RAV_based_on_actual_gearing,0)</f>
        <v>0</v>
      </c>
      <c r="H49" s="676">
        <f>IFERROR(ORA_3/Equity_RAV_based_on_actual_gearing,0)</f>
        <v>0</v>
      </c>
      <c r="I49" s="81"/>
      <c r="J49" s="1268">
        <f>IFERROR(AVERAGE(D76:INDEX(D76:H76,0,MATCH('RFPR cover'!$C$9,$D$6:$H$6,0)))/AVERAGE($D$91:INDEX($D$91:$H$91,0,MATCH('RFPR cover'!$C$9,$D$6:$H$6,0))),0)</f>
        <v>0</v>
      </c>
      <c r="K49" s="1269">
        <f t="shared" ref="K49:K55" si="15">IFERROR(AVERAGE(D76:H76)/AVERAGE($D$91:$H$91),0)</f>
        <v>0</v>
      </c>
    </row>
    <row r="50" spans="1:12">
      <c r="A50" s="79" t="s">
        <v>236</v>
      </c>
      <c r="B50" s="844" t="str">
        <f t="shared" ref="B50:B54" si="16">B77</f>
        <v/>
      </c>
      <c r="C50" s="843" t="s">
        <v>225</v>
      </c>
      <c r="D50" s="676">
        <f>IFERROR(ORA_4/Equity_RAV_based_on_actual_gearing,0)</f>
        <v>0</v>
      </c>
      <c r="E50" s="676">
        <f>IFERROR(ORA_4/Equity_RAV_based_on_actual_gearing,0)</f>
        <v>0</v>
      </c>
      <c r="F50" s="676">
        <f>IFERROR(ORA_4/Equity_RAV_based_on_actual_gearing,0)</f>
        <v>0</v>
      </c>
      <c r="G50" s="676">
        <f>IFERROR(ORA_4/Equity_RAV_based_on_actual_gearing,0)</f>
        <v>0</v>
      </c>
      <c r="H50" s="676">
        <f>IFERROR(ORA_4/Equity_RAV_based_on_actual_gearing,0)</f>
        <v>0</v>
      </c>
      <c r="I50" s="81"/>
      <c r="J50" s="1274">
        <f>IFERROR(AVERAGE(D77:INDEX(D77:H77,0,MATCH('RFPR cover'!$C$9,$D$6:$H$6,0)))/AVERAGE($D$91:INDEX($D$91:$H$91,0,MATCH('RFPR cover'!$C$9,$D$6:$H$6,0))),0)</f>
        <v>0</v>
      </c>
      <c r="K50" s="1271">
        <f t="shared" si="15"/>
        <v>0</v>
      </c>
    </row>
    <row r="51" spans="1:12">
      <c r="A51" s="79" t="s">
        <v>237</v>
      </c>
      <c r="B51" s="844" t="str">
        <f t="shared" si="16"/>
        <v/>
      </c>
      <c r="C51" s="843" t="s">
        <v>225</v>
      </c>
      <c r="D51" s="676">
        <f>IFERROR(ORA_5/Equity_RAV_based_on_actual_gearing,0)</f>
        <v>0</v>
      </c>
      <c r="E51" s="676">
        <f>IFERROR(ORA_5/Equity_RAV_based_on_actual_gearing,0)</f>
        <v>0</v>
      </c>
      <c r="F51" s="676">
        <f>IFERROR(ORA_5/Equity_RAV_based_on_actual_gearing,0)</f>
        <v>0</v>
      </c>
      <c r="G51" s="676">
        <f>IFERROR(ORA_5/Equity_RAV_based_on_actual_gearing,0)</f>
        <v>0</v>
      </c>
      <c r="H51" s="676">
        <f>IFERROR(ORA_5/Equity_RAV_based_on_actual_gearing,0)</f>
        <v>0</v>
      </c>
      <c r="I51" s="81"/>
      <c r="J51" s="1274">
        <f>IFERROR(AVERAGE(D78:INDEX(D78:H78,0,MATCH('RFPR cover'!$C$9,$D$6:$H$6,0)))/AVERAGE($D$91:INDEX($D$91:$H$91,0,MATCH('RFPR cover'!$C$9,$D$6:$H$6,0))),0)</f>
        <v>0</v>
      </c>
      <c r="K51" s="1271">
        <f t="shared" si="15"/>
        <v>0</v>
      </c>
    </row>
    <row r="52" spans="1:12">
      <c r="A52" s="79" t="s">
        <v>238</v>
      </c>
      <c r="B52" s="844" t="str">
        <f t="shared" si="16"/>
        <v/>
      </c>
      <c r="C52" s="843" t="s">
        <v>225</v>
      </c>
      <c r="D52" s="676">
        <f>IFERROR(ORA_6/Equity_RAV_based_on_actual_gearing,0)</f>
        <v>0</v>
      </c>
      <c r="E52" s="676">
        <f>IFERROR(ORA_6/Equity_RAV_based_on_actual_gearing,0)</f>
        <v>0</v>
      </c>
      <c r="F52" s="676">
        <f>IFERROR(ORA_6/Equity_RAV_based_on_actual_gearing,0)</f>
        <v>0</v>
      </c>
      <c r="G52" s="676">
        <f>IFERROR(ORA_6/Equity_RAV_based_on_actual_gearing,0)</f>
        <v>0</v>
      </c>
      <c r="H52" s="676">
        <f>IFERROR(ORA_6/Equity_RAV_based_on_actual_gearing,0)</f>
        <v>0</v>
      </c>
      <c r="I52" s="81"/>
      <c r="J52" s="1274">
        <f>IFERROR(AVERAGE(D79:INDEX(D79:H79,0,MATCH('RFPR cover'!$C$9,$D$6:$H$6,0)))/AVERAGE($D$91:INDEX($D$91:$H$91,0,MATCH('RFPR cover'!$C$9,$D$6:$H$6,0))),0)</f>
        <v>0</v>
      </c>
      <c r="K52" s="1271">
        <f t="shared" si="15"/>
        <v>0</v>
      </c>
    </row>
    <row r="53" spans="1:12">
      <c r="A53" s="79" t="s">
        <v>239</v>
      </c>
      <c r="B53" s="844" t="str">
        <f t="shared" si="16"/>
        <v/>
      </c>
      <c r="C53" s="843" t="s">
        <v>225</v>
      </c>
      <c r="D53" s="676">
        <f>IFERROR(ORA_7/Equity_RAV_based_on_actual_gearing,0)</f>
        <v>0</v>
      </c>
      <c r="E53" s="676">
        <f>IFERROR(ORA_7/Equity_RAV_based_on_actual_gearing,0)</f>
        <v>0</v>
      </c>
      <c r="F53" s="676">
        <f>IFERROR(ORA_7/Equity_RAV_based_on_actual_gearing,0)</f>
        <v>0</v>
      </c>
      <c r="G53" s="676">
        <f>IFERROR(ORA_7/Equity_RAV_based_on_actual_gearing,0)</f>
        <v>0</v>
      </c>
      <c r="H53" s="676">
        <f>IFERROR(ORA_7/Equity_RAV_based_on_actual_gearing,0)</f>
        <v>0</v>
      </c>
      <c r="I53" s="81"/>
      <c r="J53" s="1274">
        <f>IFERROR(AVERAGE(D80:INDEX(D80:H80,0,MATCH('RFPR cover'!$C$9,$D$6:$H$6,0)))/AVERAGE($D$91:INDEX($D$91:$H$91,0,MATCH('RFPR cover'!$C$9,$D$6:$H$6,0))),0)</f>
        <v>0</v>
      </c>
      <c r="K53" s="1271">
        <f t="shared" si="15"/>
        <v>0</v>
      </c>
    </row>
    <row r="54" spans="1:12">
      <c r="A54" s="79" t="s">
        <v>240</v>
      </c>
      <c r="B54" s="844" t="str">
        <f t="shared" si="16"/>
        <v/>
      </c>
      <c r="C54" s="843" t="s">
        <v>225</v>
      </c>
      <c r="D54" s="676">
        <f>IFERROR(ORA_8/Equity_RAV_based_on_actual_gearing,0)</f>
        <v>0</v>
      </c>
      <c r="E54" s="676">
        <f>IFERROR(ORA_8/Equity_RAV_based_on_actual_gearing,0)</f>
        <v>0</v>
      </c>
      <c r="F54" s="676">
        <f>IFERROR(ORA_8/Equity_RAV_based_on_actual_gearing,0)</f>
        <v>0</v>
      </c>
      <c r="G54" s="676">
        <f>IFERROR(ORA_8/Equity_RAV_based_on_actual_gearing,0)</f>
        <v>0</v>
      </c>
      <c r="H54" s="676">
        <f>IFERROR(ORA_8/Equity_RAV_based_on_actual_gearing,0)</f>
        <v>0</v>
      </c>
      <c r="I54" s="81"/>
      <c r="J54" s="1274">
        <f>IFERROR(AVERAGE(D81:INDEX(D81:H81,0,MATCH('RFPR cover'!$C$9,$D$6:$H$6,0)))/AVERAGE($D$91:INDEX($D$91:$H$91,0,MATCH('RFPR cover'!$C$9,$D$6:$H$6,0))),0)</f>
        <v>0</v>
      </c>
      <c r="K54" s="1271">
        <f t="shared" si="15"/>
        <v>0</v>
      </c>
    </row>
    <row r="55" spans="1:12" ht="14" thickBot="1">
      <c r="B55" s="844" t="str">
        <f t="shared" ref="B55:B56" si="17">B82</f>
        <v>Penalties and fines (Other Activities)</v>
      </c>
      <c r="C55" s="843" t="s">
        <v>225</v>
      </c>
      <c r="D55" s="826">
        <f>IFERROR(Penalties_and_fines/Equity_RAV_based_on_actual_gearing,0)</f>
        <v>0</v>
      </c>
      <c r="E55" s="826">
        <f>IFERROR(Penalties_and_fines/Equity_RAV_based_on_actual_gearing,0)</f>
        <v>0</v>
      </c>
      <c r="F55" s="826">
        <f>IFERROR(Penalties_and_fines/Equity_RAV_based_on_actual_gearing,0)</f>
        <v>0</v>
      </c>
      <c r="G55" s="826">
        <f>IFERROR(Penalties_and_fines/Equity_RAV_based_on_actual_gearing,0)</f>
        <v>0</v>
      </c>
      <c r="H55" s="826">
        <f>IFERROR(Penalties_and_fines/Equity_RAV_based_on_actual_gearing,0)</f>
        <v>0</v>
      </c>
      <c r="I55" s="81"/>
      <c r="J55" s="1275">
        <f>IFERROR(AVERAGE(D82:INDEX(D82:H82,0,MATCH('RFPR cover'!$C$9,$D$6:$H$6,0)))/AVERAGE($D$91:INDEX($D$91:$H$91,0,MATCH('RFPR cover'!$C$9,$D$6:$H$6,0))),0)</f>
        <v>0</v>
      </c>
      <c r="K55" s="1273">
        <f t="shared" si="15"/>
        <v>0</v>
      </c>
    </row>
    <row r="56" spans="1:12" ht="14" thickBot="1">
      <c r="B56" s="845" t="str">
        <f t="shared" si="17"/>
        <v>RoRE - Operational performance</v>
      </c>
      <c r="C56" s="393" t="s">
        <v>225</v>
      </c>
      <c r="D56" s="828">
        <f t="shared" ref="D56:H56" si="18">SUM(D38:D55)</f>
        <v>5.1948148244161212E-2</v>
      </c>
      <c r="E56" s="829">
        <f t="shared" si="18"/>
        <v>5.0533550867564753E-2</v>
      </c>
      <c r="F56" s="829">
        <f t="shared" si="18"/>
        <v>4.4665626397577644E-2</v>
      </c>
      <c r="G56" s="829">
        <f t="shared" si="18"/>
        <v>4.7571945110695263E-2</v>
      </c>
      <c r="H56" s="830">
        <f t="shared" si="18"/>
        <v>4.8716564686737095E-2</v>
      </c>
      <c r="I56" s="82"/>
      <c r="J56" s="1267">
        <f>SUM(J38:J55)</f>
        <v>5.1948148244161212E-2</v>
      </c>
      <c r="K56" s="1335">
        <f>SUM(K38:K55)</f>
        <v>4.8656077414236304E-2</v>
      </c>
    </row>
    <row r="57" spans="1:12">
      <c r="B57" s="844" t="s">
        <v>242</v>
      </c>
      <c r="C57" s="843" t="s">
        <v>225</v>
      </c>
      <c r="D57" s="827">
        <f>IFERROR((Debt_performance___at_notional_gearing+Debt_performance___impact_of_actual_gearing)/Equity_RAV_based_on_actual_gearing,0)</f>
        <v>3.5204679854787146E-2</v>
      </c>
      <c r="E57" s="827">
        <f>IFERROR((Debt_performance___at_notional_gearing+Debt_performance___impact_of_actual_gearing)/Equity_RAV_based_on_actual_gearing,0)</f>
        <v>5.7042020064917834E-2</v>
      </c>
      <c r="F57" s="827">
        <f>IFERROR((Debt_performance___at_notional_gearing+Debt_performance___impact_of_actual_gearing)/Equity_RAV_based_on_actual_gearing,0)</f>
        <v>1.9515701659642955E-2</v>
      </c>
      <c r="G57" s="827">
        <f>IFERROR((Debt_performance___at_notional_gearing+Debt_performance___impact_of_actual_gearing)/Equity_RAV_based_on_actual_gearing,0)</f>
        <v>4.9730342249753052E-3</v>
      </c>
      <c r="H57" s="827">
        <f>IFERROR((Debt_performance___at_notional_gearing+Debt_performance___impact_of_actual_gearing)/Equity_RAV_based_on_actual_gearing,0)</f>
        <v>5.9866428544845087E-3</v>
      </c>
      <c r="I57" s="81"/>
      <c r="J57" s="832">
        <f>IFERROR((AVERAGE(D84:INDEX(D84:H84,0,MATCH('RFPR cover'!$C$9,$D$6:$H$6,0)))+AVERAGE(D85:INDEX(D85:H85,0,MATCH('RFPR cover'!$C$9,$D$6:$H$6,0))))/AVERAGE($D$91:INDEX($D$91:$H$91,0,MATCH('RFPR cover'!$C$9,$D$6:$H$6,0))),0)</f>
        <v>3.5204679854787146E-2</v>
      </c>
      <c r="K57" s="832">
        <f>IFERROR((AVERAGE(D84:H84)+AVERAGE(D85:H85))/AVERAGE($D$91:$H$91),0)</f>
        <v>2.4200960252714381E-2</v>
      </c>
    </row>
    <row r="58" spans="1:12" ht="14" thickBot="1">
      <c r="B58" s="844" t="s">
        <v>243</v>
      </c>
      <c r="C58" s="843" t="s">
        <v>225</v>
      </c>
      <c r="D58" s="834">
        <f>IFERROR((Tax_performance___at_notional_gearing+Tax_performance___impact_of_actual_gearing)/D$91,0)</f>
        <v>-5.6105597481692065E-3</v>
      </c>
      <c r="E58" s="834">
        <f>IFERROR((Tax_performance___at_notional_gearing+Tax_performance___impact_of_actual_gearing)/E$91,0)</f>
        <v>-9.0910551388593865E-3</v>
      </c>
      <c r="F58" s="834">
        <f>IFERROR((Tax_performance___at_notional_gearing+Tax_performance___impact_of_actual_gearing)/F$91,0)</f>
        <v>-3.853753817574647E-3</v>
      </c>
      <c r="G58" s="834">
        <f>IFERROR((Tax_performance___at_notional_gearing+Tax_performance___impact_of_actual_gearing)/G$91,0)</f>
        <v>-9.4654561042826232E-4</v>
      </c>
      <c r="H58" s="834">
        <f>IFERROR((Tax_performance___at_notional_gearing+Tax_performance___impact_of_actual_gearing)/H$91,0)</f>
        <v>-1.1641004456319707E-3</v>
      </c>
      <c r="I58" s="81"/>
      <c r="J58" s="86">
        <f>IFERROR((AVERAGE(D86:INDEX(D86:H86,0,MATCH('RFPR cover'!$C$9,$D$6:$H$6,0)))+AVERAGE(D87:INDEX(D87:H87,0,MATCH('RFPR cover'!$C$9,$D$6:$H$6,0))))/AVERAGE($D$91:INDEX($D$91:$H$91,0,MATCH('RFPR cover'!$C$9,$D$6:$H$6,0))),0)</f>
        <v>-5.6105597481692065E-3</v>
      </c>
      <c r="K58" s="86">
        <f>IFERROR((AVERAGE(D86:H86)+AVERAGE(D87:H87))/AVERAGE($D$91:$H$91),0)</f>
        <v>-4.0797408050191704E-3</v>
      </c>
    </row>
    <row r="59" spans="1:12" ht="14" thickBot="1">
      <c r="B59" s="845" t="str">
        <f>B88</f>
        <v>RoRE - including financing and tax</v>
      </c>
      <c r="C59" s="393" t="s">
        <v>225</v>
      </c>
      <c r="D59" s="828">
        <f>SUM(D56:D58)</f>
        <v>8.1542268350779157E-2</v>
      </c>
      <c r="E59" s="829">
        <f t="shared" ref="E59:H59" si="19">SUM(E56:E58)</f>
        <v>9.8484515793623204E-2</v>
      </c>
      <c r="F59" s="829">
        <f t="shared" si="19"/>
        <v>6.0327574239645951E-2</v>
      </c>
      <c r="G59" s="829">
        <f t="shared" si="19"/>
        <v>5.1598433725242303E-2</v>
      </c>
      <c r="H59" s="830">
        <f t="shared" si="19"/>
        <v>5.3539107095589636E-2</v>
      </c>
      <c r="I59" s="82"/>
      <c r="J59" s="833">
        <f>SUM(J56:J58)</f>
        <v>8.1542268350779157E-2</v>
      </c>
      <c r="K59" s="830">
        <f>SUM(K56:K58)</f>
        <v>6.8777296861931514E-2</v>
      </c>
    </row>
    <row r="60" spans="1:12">
      <c r="B60" s="392"/>
      <c r="C60" s="393"/>
      <c r="D60" s="394"/>
      <c r="E60" s="394"/>
      <c r="F60" s="394"/>
      <c r="G60" s="394"/>
      <c r="H60" s="394"/>
      <c r="I60" s="82"/>
      <c r="J60" s="394"/>
      <c r="K60" s="394"/>
    </row>
    <row r="61" spans="1:12">
      <c r="B61" s="392"/>
      <c r="C61" s="393"/>
      <c r="D61" s="394"/>
      <c r="E61" s="394"/>
      <c r="F61" s="394"/>
      <c r="G61" s="394"/>
      <c r="H61" s="394"/>
      <c r="I61" s="82"/>
      <c r="J61" s="394"/>
      <c r="K61" s="394"/>
    </row>
    <row r="62" spans="1:12">
      <c r="B62" s="409" t="s">
        <v>244</v>
      </c>
      <c r="C62" s="410"/>
      <c r="D62" s="411"/>
      <c r="E62" s="411"/>
      <c r="F62" s="411"/>
      <c r="G62" s="411"/>
      <c r="H62" s="411"/>
      <c r="I62" s="412"/>
      <c r="J62" s="411"/>
      <c r="K62" s="411"/>
      <c r="L62" s="99"/>
    </row>
    <row r="63" spans="1:12">
      <c r="B63" s="414" t="str">
        <f>"Input values provided in "&amp;Data!C9&amp;" prices"</f>
        <v>Input values provided in £m 18/19 prices</v>
      </c>
      <c r="C63" s="413"/>
      <c r="D63" s="413"/>
      <c r="E63" s="413"/>
      <c r="F63" s="413"/>
      <c r="G63" s="413"/>
      <c r="H63" s="413"/>
      <c r="I63" s="413"/>
      <c r="J63" s="413"/>
      <c r="K63" s="413"/>
      <c r="L63" s="413"/>
    </row>
    <row r="65" spans="1:12">
      <c r="B65" s="846" t="s">
        <v>245</v>
      </c>
      <c r="C65" s="848" t="str">
        <f>Data!$C$9</f>
        <v>£m 18/19</v>
      </c>
      <c r="D65" s="84">
        <f>'R7 - RAV'!E44</f>
        <v>264.17780685078844</v>
      </c>
      <c r="E65" s="85">
        <f>'R7 - RAV'!F44</f>
        <v>272.43456267376655</v>
      </c>
      <c r="F65" s="85">
        <f>'R7 - RAV'!G44</f>
        <v>280.11822491687468</v>
      </c>
      <c r="G65" s="85">
        <f>'R7 - RAV'!H44</f>
        <v>288.71716212633208</v>
      </c>
      <c r="H65" s="85">
        <f>'R7 - RAV'!I44</f>
        <v>297.21294285236252</v>
      </c>
      <c r="I65" s="89"/>
      <c r="J65" s="47">
        <f>SUM(D65:INDEX(D65:H65,0,MATCH('RFPR cover'!$C$9,$D$6:$H$6,0)))</f>
        <v>264.17780685078844</v>
      </c>
      <c r="K65" s="47">
        <f t="shared" ref="K65:K82" si="20">SUM(D65:H65)</f>
        <v>1402.6606994201243</v>
      </c>
      <c r="L65" s="89"/>
    </row>
    <row r="66" spans="1:12">
      <c r="B66" s="846" t="s">
        <v>246</v>
      </c>
      <c r="C66" s="848" t="str">
        <f>Data!$C$9</f>
        <v>£m 18/19</v>
      </c>
      <c r="D66" s="119">
        <f>'R3 - Totex - Reconciliation'!D102</f>
        <v>76.127458713088075</v>
      </c>
      <c r="E66" s="119">
        <f>'R3 - Totex - Reconciliation'!E102</f>
        <v>78.747843317499317</v>
      </c>
      <c r="F66" s="119">
        <f>'R3 - Totex - Reconciliation'!F102</f>
        <v>32.209134470956784</v>
      </c>
      <c r="G66" s="119">
        <f>'R3 - Totex - Reconciliation'!G102</f>
        <v>52.737012393557876</v>
      </c>
      <c r="H66" s="119">
        <f>'R3 - Totex - Reconciliation'!H102</f>
        <v>58.342682500781152</v>
      </c>
      <c r="I66" s="89"/>
      <c r="J66" s="47">
        <f>SUM(D66:INDEX(D66:H66,0,MATCH('RFPR cover'!$C$9,$D$6:$H$6,0)))</f>
        <v>76.127458713088075</v>
      </c>
      <c r="K66" s="47">
        <f t="shared" si="20"/>
        <v>298.1641313958832</v>
      </c>
      <c r="L66" s="89"/>
    </row>
    <row r="67" spans="1:12">
      <c r="A67" s="79" t="s">
        <v>226</v>
      </c>
      <c r="B67" s="846" t="s">
        <v>247</v>
      </c>
      <c r="C67" s="848" t="str">
        <f>Data!$C$9</f>
        <v>£m 18/19</v>
      </c>
      <c r="D67" s="116">
        <f>'R4 - Incentives and Other Rev'!D12</f>
        <v>-13</v>
      </c>
      <c r="E67" s="116">
        <f>'R4 - Incentives and Other Rev'!E12</f>
        <v>-13</v>
      </c>
      <c r="F67" s="116">
        <f>'R4 - Incentives and Other Rev'!F12</f>
        <v>-13</v>
      </c>
      <c r="G67" s="116">
        <f>'R4 - Incentives and Other Rev'!G12</f>
        <v>-13</v>
      </c>
      <c r="H67" s="116">
        <f>'R4 - Incentives and Other Rev'!H12</f>
        <v>-13</v>
      </c>
      <c r="I67" s="89"/>
      <c r="J67" s="47">
        <f>SUM(D67:INDEX(D67:H67,0,MATCH('RFPR cover'!$C$9,$D$6:$H$6,0)))</f>
        <v>-13</v>
      </c>
      <c r="K67" s="47">
        <f t="shared" si="20"/>
        <v>-65</v>
      </c>
      <c r="L67" s="89"/>
    </row>
    <row r="68" spans="1:12">
      <c r="A68" s="79" t="s">
        <v>227</v>
      </c>
      <c r="B68" s="1059" t="str">
        <f>'R4 - Incentives and Other Rev'!B14</f>
        <v xml:space="preserve">Energy not supplied ODI </v>
      </c>
      <c r="C68" s="848" t="str">
        <f>Data!$C$9</f>
        <v>£m 18/19</v>
      </c>
      <c r="D68" s="116">
        <f>'R4 - Incentives and Other Rev'!D14</f>
        <v>0.83399659199999998</v>
      </c>
      <c r="E68" s="116">
        <f>'R4 - Incentives and Other Rev'!E14</f>
        <v>0.83399659199999998</v>
      </c>
      <c r="F68" s="116">
        <f>'R4 - Incentives and Other Rev'!F14</f>
        <v>0.83399659199999998</v>
      </c>
      <c r="G68" s="116">
        <f>'R4 - Incentives and Other Rev'!G14</f>
        <v>0.83399659199999998</v>
      </c>
      <c r="H68" s="116">
        <f>'R4 - Incentives and Other Rev'!H14</f>
        <v>0.83399659199999998</v>
      </c>
      <c r="I68" s="675"/>
      <c r="J68" s="47">
        <f>SUM(D68:INDEX(D68:H68,0,MATCH('RFPR cover'!$C$9,$D$6:$H$6,0)))</f>
        <v>0.83399659199999998</v>
      </c>
      <c r="K68" s="47">
        <f t="shared" si="20"/>
        <v>4.1699829599999996</v>
      </c>
      <c r="L68" s="89"/>
    </row>
    <row r="69" spans="1:12">
      <c r="A69" s="79" t="s">
        <v>228</v>
      </c>
      <c r="B69" s="1059" t="str">
        <f>'R4 - Incentives and Other Rev'!B15</f>
        <v xml:space="preserve">Insulation And Interruption Gas emissions ODI </v>
      </c>
      <c r="C69" s="848" t="str">
        <f>Data!$C$9</f>
        <v>£m 18/19</v>
      </c>
      <c r="D69" s="116">
        <f>'R4 - Incentives and Other Rev'!D15</f>
        <v>1.667856016922372</v>
      </c>
      <c r="E69" s="116">
        <f>'R4 - Incentives and Other Rev'!E15</f>
        <v>0.93794510457736513</v>
      </c>
      <c r="F69" s="116">
        <f>'R4 - Incentives and Other Rev'!F15</f>
        <v>0.91410906813772486</v>
      </c>
      <c r="G69" s="116">
        <f>'R4 - Incentives and Other Rev'!G15</f>
        <v>-0.60366398373038688</v>
      </c>
      <c r="H69" s="116">
        <f>'R4 - Incentives and Other Rev'!H15</f>
        <v>-0.41381762393381721</v>
      </c>
      <c r="I69" s="675"/>
      <c r="J69" s="47">
        <f>SUM(D69:INDEX(D69:H69,0,MATCH('RFPR cover'!$C$9,$D$6:$H$6,0)))</f>
        <v>1.667856016922372</v>
      </c>
      <c r="K69" s="47">
        <f t="shared" si="20"/>
        <v>2.5024285819732572</v>
      </c>
      <c r="L69" s="89"/>
    </row>
    <row r="70" spans="1:12">
      <c r="A70" s="79" t="s">
        <v>229</v>
      </c>
      <c r="B70" s="1059" t="str">
        <f>'R4 - Incentives and Other Rev'!B16</f>
        <v xml:space="preserve">Timely Connections ODI </v>
      </c>
      <c r="C70" s="848" t="str">
        <f>Data!$C$9</f>
        <v>£m 18/19</v>
      </c>
      <c r="D70" s="116">
        <f>'R4 - Incentives and Other Rev'!D16</f>
        <v>-0.26270833333333332</v>
      </c>
      <c r="E70" s="116">
        <f>'R4 - Incentives and Other Rev'!E16</f>
        <v>-0.26270833333333332</v>
      </c>
      <c r="F70" s="116">
        <f>'R4 - Incentives and Other Rev'!F16</f>
        <v>-0.26270833333333332</v>
      </c>
      <c r="G70" s="116">
        <f>'R4 - Incentives and Other Rev'!G16</f>
        <v>-0.26270833333333332</v>
      </c>
      <c r="H70" s="116">
        <f>'R4 - Incentives and Other Rev'!H16</f>
        <v>-0.26270833333333332</v>
      </c>
      <c r="I70" s="675"/>
      <c r="J70" s="47">
        <f>SUM(D70:INDEX(D70:H70,0,MATCH('RFPR cover'!$C$9,$D$6:$H$6,0)))</f>
        <v>-0.26270833333333332</v>
      </c>
      <c r="K70" s="47">
        <f t="shared" si="20"/>
        <v>-1.3135416666666666</v>
      </c>
      <c r="L70" s="89"/>
    </row>
    <row r="71" spans="1:12">
      <c r="A71" s="79" t="s">
        <v>230</v>
      </c>
      <c r="B71" s="1059" t="str">
        <f>'R4 - Incentives and Other Rev'!B17</f>
        <v xml:space="preserve">Quality of connections satisfaction survey ODI </v>
      </c>
      <c r="C71" s="848" t="str">
        <f>Data!$C$9</f>
        <v>£m 18/19</v>
      </c>
      <c r="D71" s="116">
        <f>'R4 - Incentives and Other Rev'!D17</f>
        <v>0.2353260416666656</v>
      </c>
      <c r="E71" s="116">
        <f>'R4 - Incentives and Other Rev'!E17</f>
        <v>0</v>
      </c>
      <c r="F71" s="116">
        <f>'R4 - Incentives and Other Rev'!F17</f>
        <v>0</v>
      </c>
      <c r="G71" s="116">
        <f>'R4 - Incentives and Other Rev'!G17</f>
        <v>0</v>
      </c>
      <c r="H71" s="116">
        <f>'R4 - Incentives and Other Rev'!H17</f>
        <v>0</v>
      </c>
      <c r="I71" s="675"/>
      <c r="J71" s="47">
        <f>SUM(D71:INDEX(D71:H71,0,MATCH('RFPR cover'!$C$9,$D$6:$H$6,0)))</f>
        <v>0.2353260416666656</v>
      </c>
      <c r="K71" s="47">
        <f t="shared" si="20"/>
        <v>0.2353260416666656</v>
      </c>
      <c r="L71" s="89"/>
    </row>
    <row r="72" spans="1:12">
      <c r="A72" s="79" t="s">
        <v>231</v>
      </c>
      <c r="B72" s="1059" t="str">
        <f>'R4 - Incentives and Other Rev'!B18</f>
        <v>SO-TO Optimisation ODI</v>
      </c>
      <c r="C72" s="848" t="str">
        <f>Data!$C$9</f>
        <v>£m 18/19</v>
      </c>
      <c r="D72" s="116">
        <f>'R4 - Incentives and Other Rev'!D18</f>
        <v>4.9484480000000008</v>
      </c>
      <c r="E72" s="116">
        <f>'R4 - Incentives and Other Rev'!E18</f>
        <v>0</v>
      </c>
      <c r="F72" s="116">
        <f>'R4 - Incentives and Other Rev'!F18</f>
        <v>0</v>
      </c>
      <c r="G72" s="116">
        <f>'R4 - Incentives and Other Rev'!G18</f>
        <v>0</v>
      </c>
      <c r="H72" s="116">
        <f>'R4 - Incentives and Other Rev'!H18</f>
        <v>0</v>
      </c>
      <c r="I72" s="675"/>
      <c r="J72" s="47">
        <f>SUM(D72:INDEX(D72:H72,0,MATCH('RFPR cover'!$C$9,$D$6:$H$6,0)))</f>
        <v>4.9484480000000008</v>
      </c>
      <c r="K72" s="47">
        <f t="shared" si="20"/>
        <v>4.9484480000000008</v>
      </c>
      <c r="L72" s="89"/>
    </row>
    <row r="73" spans="1:12">
      <c r="A73" s="79" t="s">
        <v>232</v>
      </c>
      <c r="B73" s="1059" t="str">
        <f>'R4 - Incentives and Other Rev'!B19</f>
        <v xml:space="preserve">Environmental scorecard ODI </v>
      </c>
      <c r="C73" s="848" t="str">
        <f>Data!$C$9</f>
        <v>£m 18/19</v>
      </c>
      <c r="D73" s="116">
        <f>'R4 - Incentives and Other Rev'!D19</f>
        <v>0.51351564000000005</v>
      </c>
      <c r="E73" s="116">
        <f>'R4 - Incentives and Other Rev'!E19</f>
        <v>1.1154453750000002</v>
      </c>
      <c r="F73" s="116">
        <f>'R4 - Incentives and Other Rev'!F19</f>
        <v>1.1154631950000002</v>
      </c>
      <c r="G73" s="116">
        <f>'R4 - Incentives and Other Rev'!G19</f>
        <v>1.1160393750000002</v>
      </c>
      <c r="H73" s="116">
        <f>'R4 - Incentives and Other Rev'!H19</f>
        <v>1.1160875549999993</v>
      </c>
      <c r="I73" s="675"/>
      <c r="J73" s="47">
        <f>SUM(D73:INDEX(D73:H73,0,MATCH('RFPR cover'!$C$9,$D$6:$H$6,0)))</f>
        <v>0.51351564000000005</v>
      </c>
      <c r="K73" s="47">
        <f t="shared" si="20"/>
        <v>4.9765511399999998</v>
      </c>
      <c r="L73" s="89"/>
    </row>
    <row r="74" spans="1:12">
      <c r="A74" s="79" t="s">
        <v>233</v>
      </c>
      <c r="B74" s="1059" t="str">
        <f>'R4 - Incentives and Other Rev'!B41</f>
        <v>Network innovation input for RORE</v>
      </c>
      <c r="C74" s="848" t="str">
        <f>Data!$C$9</f>
        <v>£m 18/19</v>
      </c>
      <c r="D74" s="116">
        <f>-'R4 - Incentives and Other Rev'!D41</f>
        <v>-0.23619919814420759</v>
      </c>
      <c r="E74" s="116">
        <f>-'R4 - Incentives and Other Rev'!E41</f>
        <v>-0.55310758624225131</v>
      </c>
      <c r="F74" s="116">
        <f>-'R4 - Incentives and Other Rev'!F41</f>
        <v>-1.7081776671238604</v>
      </c>
      <c r="G74" s="116">
        <f>-'R4 - Incentives and Other Rev'!G41</f>
        <v>-1.7330646600101876</v>
      </c>
      <c r="H74" s="116">
        <f>-'R4 - Incentives and Other Rev'!H41</f>
        <v>-1.2461472379796659</v>
      </c>
      <c r="I74" s="89"/>
      <c r="J74" s="47">
        <f>SUM(D74:INDEX(D74:H74,0,MATCH('RFPR cover'!$C$9,$D$6:$H$6,0)))</f>
        <v>-0.23619919814420759</v>
      </c>
      <c r="K74" s="47">
        <f t="shared" si="20"/>
        <v>-5.4766963495001724</v>
      </c>
      <c r="L74" s="89"/>
    </row>
    <row r="75" spans="1:12">
      <c r="A75" s="79" t="s">
        <v>234</v>
      </c>
      <c r="B75" s="1059" t="str">
        <f>'R4 - Incentives and Other Rev'!B48</f>
        <v>Carry-over Network innovation input for RORE</v>
      </c>
      <c r="C75" s="848" t="str">
        <f>Data!$C$9</f>
        <v>£m 18/19</v>
      </c>
      <c r="D75" s="116">
        <f>-'R4 - Incentives and Other Rev'!D48</f>
        <v>-7.2570238952118102E-2</v>
      </c>
      <c r="E75" s="116">
        <f>-'R4 - Incentives and Other Rev'!E48</f>
        <v>0</v>
      </c>
      <c r="F75" s="116">
        <f>-'R4 - Incentives and Other Rev'!F48</f>
        <v>0</v>
      </c>
      <c r="G75" s="116">
        <f>-'R4 - Incentives and Other Rev'!G48</f>
        <v>0</v>
      </c>
      <c r="H75" s="116">
        <f>-'R4 - Incentives and Other Rev'!H48</f>
        <v>0</v>
      </c>
      <c r="I75" s="89"/>
      <c r="J75" s="47">
        <f>SUM(D75:INDEX(D75:H75,0,MATCH('RFPR cover'!$C$9,$D$6:$H$6,0)))</f>
        <v>-7.2570238952118102E-2</v>
      </c>
      <c r="K75" s="47">
        <f t="shared" si="20"/>
        <v>-7.2570238952118102E-2</v>
      </c>
      <c r="L75" s="89"/>
    </row>
    <row r="76" spans="1:12">
      <c r="A76" s="79" t="s">
        <v>235</v>
      </c>
      <c r="B76" s="1059" t="str">
        <f>'R4 - Incentives and Other Rev'!B55</f>
        <v>Strategic innovation input for RORE</v>
      </c>
      <c r="C76" s="848" t="str">
        <f>Data!$C$9</f>
        <v>£m 18/19</v>
      </c>
      <c r="D76" s="116">
        <f>-'R4 - Incentives and Other Rev'!D55</f>
        <v>0</v>
      </c>
      <c r="E76" s="116">
        <f>-'R4 - Incentives and Other Rev'!E55</f>
        <v>0</v>
      </c>
      <c r="F76" s="116">
        <f>-'R4 - Incentives and Other Rev'!F55</f>
        <v>0</v>
      </c>
      <c r="G76" s="116">
        <f>-'R4 - Incentives and Other Rev'!G55</f>
        <v>0</v>
      </c>
      <c r="H76" s="116">
        <f>-'R4 - Incentives and Other Rev'!H55</f>
        <v>0</v>
      </c>
      <c r="I76" s="89"/>
      <c r="J76" s="47"/>
      <c r="K76" s="47"/>
      <c r="L76" s="89"/>
    </row>
    <row r="77" spans="1:12">
      <c r="A77" s="79" t="s">
        <v>236</v>
      </c>
      <c r="B77" s="1059" t="str">
        <f>'R4 - Incentives and Other Rev'!B62</f>
        <v/>
      </c>
      <c r="C77" s="848" t="str">
        <f>Data!$C$9</f>
        <v>£m 18/19</v>
      </c>
      <c r="D77" s="117">
        <f>'R4 - Incentives and Other Rev'!D62</f>
        <v>0</v>
      </c>
      <c r="E77" s="117">
        <f>'R4 - Incentives and Other Rev'!E62</f>
        <v>0</v>
      </c>
      <c r="F77" s="117">
        <f>'R4 - Incentives and Other Rev'!F62</f>
        <v>0</v>
      </c>
      <c r="G77" s="117">
        <f>'R4 - Incentives and Other Rev'!G62</f>
        <v>0</v>
      </c>
      <c r="H77" s="117">
        <f>'R4 - Incentives and Other Rev'!H62</f>
        <v>0</v>
      </c>
      <c r="I77" s="89"/>
      <c r="J77" s="47">
        <f>SUM(D77:INDEX(D77:H77,0,MATCH('RFPR cover'!$C$9,$D$6:$H$6,0)))</f>
        <v>0</v>
      </c>
      <c r="K77" s="47">
        <f t="shared" si="20"/>
        <v>0</v>
      </c>
      <c r="L77" s="89"/>
    </row>
    <row r="78" spans="1:12">
      <c r="A78" s="79" t="s">
        <v>237</v>
      </c>
      <c r="B78" s="1059" t="str">
        <f>'R4 - Incentives and Other Rev'!B63</f>
        <v/>
      </c>
      <c r="C78" s="848" t="str">
        <f>Data!$C$9</f>
        <v>£m 18/19</v>
      </c>
      <c r="D78" s="117">
        <f>'R4 - Incentives and Other Rev'!D63</f>
        <v>0</v>
      </c>
      <c r="E78" s="117">
        <f>'R4 - Incentives and Other Rev'!E63</f>
        <v>0</v>
      </c>
      <c r="F78" s="117">
        <f>'R4 - Incentives and Other Rev'!F63</f>
        <v>0</v>
      </c>
      <c r="G78" s="117">
        <f>'R4 - Incentives and Other Rev'!G63</f>
        <v>0</v>
      </c>
      <c r="H78" s="117">
        <f>'R4 - Incentives and Other Rev'!H63</f>
        <v>0</v>
      </c>
      <c r="I78" s="89"/>
      <c r="J78" s="47">
        <f>SUM(D78:INDEX(D78:H78,0,MATCH('RFPR cover'!$C$9,$D$6:$H$6,0)))</f>
        <v>0</v>
      </c>
      <c r="K78" s="47">
        <f t="shared" si="20"/>
        <v>0</v>
      </c>
      <c r="L78" s="89"/>
    </row>
    <row r="79" spans="1:12">
      <c r="A79" s="79" t="s">
        <v>238</v>
      </c>
      <c r="B79" s="1059" t="str">
        <f>'R4 - Incentives and Other Rev'!B64</f>
        <v/>
      </c>
      <c r="C79" s="848" t="str">
        <f>Data!$C$9</f>
        <v>£m 18/19</v>
      </c>
      <c r="D79" s="117">
        <f>'R4 - Incentives and Other Rev'!D64</f>
        <v>0</v>
      </c>
      <c r="E79" s="117">
        <f>'R4 - Incentives and Other Rev'!E64</f>
        <v>0</v>
      </c>
      <c r="F79" s="117">
        <f>'R4 - Incentives and Other Rev'!F64</f>
        <v>0</v>
      </c>
      <c r="G79" s="117">
        <f>'R4 - Incentives and Other Rev'!G64</f>
        <v>0</v>
      </c>
      <c r="H79" s="117">
        <f>'R4 - Incentives and Other Rev'!H64</f>
        <v>0</v>
      </c>
      <c r="I79" s="89"/>
      <c r="J79" s="47">
        <f>SUM(D79:INDEX(D79:H79,0,MATCH('RFPR cover'!$C$9,$D$6:$H$6,0)))</f>
        <v>0</v>
      </c>
      <c r="K79" s="47">
        <f t="shared" si="20"/>
        <v>0</v>
      </c>
      <c r="L79" s="89"/>
    </row>
    <row r="80" spans="1:12">
      <c r="A80" s="79" t="s">
        <v>239</v>
      </c>
      <c r="B80" s="1059" t="str">
        <f>'R4 - Incentives and Other Rev'!B65</f>
        <v/>
      </c>
      <c r="C80" s="848" t="str">
        <f>Data!$C$9</f>
        <v>£m 18/19</v>
      </c>
      <c r="D80" s="117">
        <f>'R4 - Incentives and Other Rev'!D65</f>
        <v>0</v>
      </c>
      <c r="E80" s="117">
        <f>'R4 - Incentives and Other Rev'!E65</f>
        <v>0</v>
      </c>
      <c r="F80" s="117">
        <f>'R4 - Incentives and Other Rev'!F65</f>
        <v>0</v>
      </c>
      <c r="G80" s="117">
        <f>'R4 - Incentives and Other Rev'!G65</f>
        <v>0</v>
      </c>
      <c r="H80" s="117">
        <f>'R4 - Incentives and Other Rev'!H65</f>
        <v>0</v>
      </c>
      <c r="I80" s="89"/>
      <c r="J80" s="47">
        <f>SUM(D80:INDEX(D80:H80,0,MATCH('RFPR cover'!$C$9,$D$6:$H$6,0)))</f>
        <v>0</v>
      </c>
      <c r="K80" s="47">
        <f>SUM(D80:H80)</f>
        <v>0</v>
      </c>
      <c r="L80" s="89"/>
    </row>
    <row r="81" spans="1:14">
      <c r="A81" s="79" t="s">
        <v>240</v>
      </c>
      <c r="B81" s="1059" t="str">
        <f>'R4 - Incentives and Other Rev'!B66</f>
        <v/>
      </c>
      <c r="C81" s="848" t="str">
        <f>Data!$C$9</f>
        <v>£m 18/19</v>
      </c>
      <c r="D81" s="117">
        <f>'R4 - Incentives and Other Rev'!D66</f>
        <v>0</v>
      </c>
      <c r="E81" s="117">
        <f>'R4 - Incentives and Other Rev'!E66</f>
        <v>0</v>
      </c>
      <c r="F81" s="117">
        <f>'R4 - Incentives and Other Rev'!F66</f>
        <v>0</v>
      </c>
      <c r="G81" s="117">
        <f>'R4 - Incentives and Other Rev'!G66</f>
        <v>0</v>
      </c>
      <c r="H81" s="117">
        <f>'R4 - Incentives and Other Rev'!H66</f>
        <v>0</v>
      </c>
      <c r="I81" s="89"/>
      <c r="J81" s="47">
        <f>SUM(D81:INDEX(D81:H81,0,MATCH('RFPR cover'!$C$9,$D$6:$H$6,0)))</f>
        <v>0</v>
      </c>
      <c r="K81" s="47">
        <f>SUM(D81:H81)</f>
        <v>0</v>
      </c>
      <c r="L81" s="89"/>
    </row>
    <row r="82" spans="1:14" ht="14" thickBot="1">
      <c r="B82" s="846" t="s">
        <v>248</v>
      </c>
      <c r="C82" s="848" t="str">
        <f>Data!$C$9</f>
        <v>£m 18/19</v>
      </c>
      <c r="D82" s="117">
        <f>-'R10 - Pensions &amp; Oth Activities'!D54</f>
        <v>0</v>
      </c>
      <c r="E82" s="117">
        <f>-'R10 - Pensions &amp; Oth Activities'!E54</f>
        <v>0</v>
      </c>
      <c r="F82" s="117">
        <f>-'R10 - Pensions &amp; Oth Activities'!F54</f>
        <v>0</v>
      </c>
      <c r="G82" s="117">
        <f>-'R10 - Pensions &amp; Oth Activities'!G54</f>
        <v>0</v>
      </c>
      <c r="H82" s="117">
        <f>-'R10 - Pensions &amp; Oth Activities'!H54</f>
        <v>0</v>
      </c>
      <c r="I82" s="89"/>
      <c r="J82" s="798">
        <f>SUM(D82:INDEX(D82:H82,0,MATCH('RFPR cover'!$C$9,$D$6:$H$6,0)))</f>
        <v>0</v>
      </c>
      <c r="K82" s="798">
        <f t="shared" si="20"/>
        <v>0</v>
      </c>
      <c r="L82" s="89"/>
    </row>
    <row r="83" spans="1:14" ht="14" thickBot="1">
      <c r="B83" s="847" t="s">
        <v>249</v>
      </c>
      <c r="C83" s="849" t="str">
        <f>Data!$C$9</f>
        <v>£m 18/19</v>
      </c>
      <c r="D83" s="822">
        <f>SUM(D65:D82)</f>
        <v>334.93293008403589</v>
      </c>
      <c r="E83" s="824">
        <f>SUM(E65:E82)</f>
        <v>340.2539771432676</v>
      </c>
      <c r="F83" s="824">
        <f>SUM(F65:F82)</f>
        <v>300.22004224251208</v>
      </c>
      <c r="G83" s="824">
        <f>SUM(G65:G82)</f>
        <v>327.80477350981613</v>
      </c>
      <c r="H83" s="823">
        <f>SUM(H65:H82)</f>
        <v>342.58303630489689</v>
      </c>
      <c r="I83" s="467"/>
      <c r="J83" s="822">
        <f>SUM(J65:J82)</f>
        <v>334.93293008403589</v>
      </c>
      <c r="K83" s="823">
        <f>SUM(K65:K82)</f>
        <v>1645.7947592845287</v>
      </c>
      <c r="L83" s="89"/>
    </row>
    <row r="84" spans="1:14">
      <c r="B84" s="846" t="s">
        <v>250</v>
      </c>
      <c r="C84" s="848" t="str">
        <f>Data!$C$9</f>
        <v>£m 18/19</v>
      </c>
      <c r="D84" s="850">
        <f>IFERROR('R5 - Financing'!D85+'R8 - Tax'!E67,0)</f>
        <v>228.22769050229437</v>
      </c>
      <c r="E84" s="850">
        <f>IFERROR('R5 - Financing'!E85+'R8 - Tax'!F67,0)</f>
        <v>393.52691431800633</v>
      </c>
      <c r="F84" s="850">
        <f>IFERROR('R5 - Financing'!F85+'R8 - Tax'!G67,0)</f>
        <v>130.41389067741511</v>
      </c>
      <c r="G84" s="850">
        <f>IFERROR('R5 - Financing'!G85+'R8 - Tax'!H67,0)</f>
        <v>32.342882392179497</v>
      </c>
      <c r="H84" s="850">
        <f>IFERROR('R5 - Financing'!H85+'R8 - Tax'!I67,0)</f>
        <v>40.916245944645681</v>
      </c>
      <c r="I84" s="89"/>
      <c r="J84" s="821">
        <f>SUM(D84:INDEX(D84:H84,0,MATCH('RFPR cover'!$C$9,$D$6:$H$6,0)))</f>
        <v>228.22769050229437</v>
      </c>
      <c r="K84" s="821">
        <f>SUM(D84:H84)</f>
        <v>825.42762383454101</v>
      </c>
      <c r="L84" s="89"/>
    </row>
    <row r="85" spans="1:14">
      <c r="B85" s="846" t="s">
        <v>251</v>
      </c>
      <c r="C85" s="848" t="str">
        <f>Data!$C$9</f>
        <v>£m 18/19</v>
      </c>
      <c r="D85" s="851">
        <f>IFERROR('R5 - Financing'!D87+'R8 - Tax'!E68,0)</f>
        <v>-1.2473846593506082</v>
      </c>
      <c r="E85" s="851">
        <f>IFERROR('R5 - Financing'!E87+'R8 - Tax'!F68,0)</f>
        <v>-9.449922731966808</v>
      </c>
      <c r="F85" s="851">
        <f>IFERROR('R5 - Financing'!F87+'R8 - Tax'!G68,0)</f>
        <v>0.7609130631190375</v>
      </c>
      <c r="G85" s="851">
        <f>IFERROR('R5 - Financing'!G87+'R8 - Tax'!H68,0)</f>
        <v>1.9248851750560725</v>
      </c>
      <c r="H85" s="851">
        <f>IFERROR('R5 - Financing'!H87+'R8 - Tax'!I68,0)</f>
        <v>1.1828285601022692</v>
      </c>
      <c r="I85" s="89"/>
      <c r="J85" s="47">
        <f>SUM(D85:INDEX(D85:H85,0,MATCH('RFPR cover'!$C$9,$D$6:$H$6,0)))</f>
        <v>-1.2473846593506082</v>
      </c>
      <c r="K85" s="47">
        <f>SUM(D85:H85)</f>
        <v>-6.8286805930400369</v>
      </c>
      <c r="L85" s="89"/>
    </row>
    <row r="86" spans="1:14">
      <c r="B86" s="846" t="s">
        <v>252</v>
      </c>
      <c r="C86" s="848" t="str">
        <f>Data!$C$9</f>
        <v>£m 18/19</v>
      </c>
      <c r="D86" s="851">
        <f>'R8 - Tax'!E60-'R8 - Tax'!E67</f>
        <v>-36.173786350066365</v>
      </c>
      <c r="E86" s="851">
        <f>'R8 - Tax'!F60-'R8 - Tax'!F67</f>
        <v>-61.212157355264729</v>
      </c>
      <c r="F86" s="851">
        <f>'R8 - Tax'!G60-'R8 - Tax'!G67</f>
        <v>-25.903009253828525</v>
      </c>
      <c r="G86" s="851">
        <f>'R8 - Tax'!H60-'R8 - Tax'!H67</f>
        <v>-6.5223771851487484</v>
      </c>
      <c r="H86" s="851">
        <f>'R8 - Tax'!I60-'R8 - Tax'!I67</f>
        <v>-8.1861491628751075</v>
      </c>
      <c r="I86" s="89"/>
      <c r="J86" s="47">
        <f>SUM(D86:INDEX(D86:H86,0,MATCH('RFPR cover'!$C$9,$D$6:$H$6,0)))</f>
        <v>-36.173786350066365</v>
      </c>
      <c r="K86" s="47">
        <f>SUM(D86:H86)</f>
        <v>-137.99747930718348</v>
      </c>
      <c r="L86" s="89"/>
    </row>
    <row r="87" spans="1:14" ht="14" thickBot="1">
      <c r="B87" s="846" t="s">
        <v>253</v>
      </c>
      <c r="C87" s="848" t="str">
        <f>Data!$C$9</f>
        <v>£m 18/19</v>
      </c>
      <c r="D87" s="852">
        <f>'R8 - Tax'!E62-'R8 - Tax'!E68</f>
        <v>-7.1054273576010019E-15</v>
      </c>
      <c r="E87" s="852">
        <f>'R8 - Tax'!F62-'R8 - Tax'!F68</f>
        <v>7.1054273576010019E-15</v>
      </c>
      <c r="F87" s="852">
        <f>'R8 - Tax'!G62-'R8 - Tax'!G68</f>
        <v>-1.7763568394002505E-14</v>
      </c>
      <c r="G87" s="852">
        <f>'R8 - Tax'!H62-'R8 - Tax'!H68</f>
        <v>3.5527136788005009E-15</v>
      </c>
      <c r="H87" s="852">
        <f>'R8 - Tax'!I62-'R8 - Tax'!I68</f>
        <v>-3.5527136788005009E-15</v>
      </c>
      <c r="I87" s="89"/>
      <c r="J87" s="798">
        <f>SUM(D87:INDEX(D87:H87,0,MATCH('RFPR cover'!$C$9,$D$6:$H$6,0)))</f>
        <v>-7.1054273576010019E-15</v>
      </c>
      <c r="K87" s="798">
        <f>SUM(D87:H87)</f>
        <v>-1.7763568394002505E-14</v>
      </c>
      <c r="L87" s="89"/>
    </row>
    <row r="88" spans="1:14" ht="14" thickBot="1">
      <c r="B88" s="847" t="s">
        <v>254</v>
      </c>
      <c r="C88" s="849" t="str">
        <f>Data!$C$9</f>
        <v>£m 18/19</v>
      </c>
      <c r="D88" s="1026">
        <f>IF(OR(Licensee=Data!$B$78,Licensee=Data!$B$81),"N/A",SUM(D83:D87))</f>
        <v>525.73944957691322</v>
      </c>
      <c r="E88" s="1026">
        <f>IF(OR(Licensee=Data!$B$78,Licensee=Data!$B$81),"N/A",SUM(E83:E87))</f>
        <v>663.11881137404248</v>
      </c>
      <c r="F88" s="1026">
        <f>IF(OR(Licensee=Data!$B$78,Licensee=Data!$B$81),"N/A",SUM(F83:F87))</f>
        <v>405.49183672921771</v>
      </c>
      <c r="G88" s="1026">
        <f>IF(OR(Licensee=Data!$B$78,Licensee=Data!$B$81),"N/A",SUM(G83:G87))</f>
        <v>355.55016389190297</v>
      </c>
      <c r="H88" s="1026">
        <f>IF(OR(Licensee=Data!$B$78,Licensee=Data!$B$81),"N/A",SUM(H83:H87))</f>
        <v>376.49596164676979</v>
      </c>
      <c r="I88" s="467"/>
      <c r="J88" s="822">
        <f>SUM(J83:J87)</f>
        <v>525.73944957691322</v>
      </c>
      <c r="K88" s="823">
        <f>SUM(K83:K87)</f>
        <v>2326.396223218846</v>
      </c>
      <c r="L88" s="89"/>
    </row>
    <row r="89" spans="1:14">
      <c r="D89" s="825"/>
      <c r="I89" s="89"/>
      <c r="L89" s="89"/>
      <c r="N89" s="89"/>
    </row>
    <row r="90" spans="1:14">
      <c r="B90" s="1025" t="s">
        <v>255</v>
      </c>
      <c r="C90" s="848" t="str">
        <f>Data!$C$9</f>
        <v>£m 18/19</v>
      </c>
      <c r="D90" s="115">
        <f>'R7 - RAV'!E40</f>
        <v>6224.816962380075</v>
      </c>
      <c r="E90" s="85">
        <f>'R7 - RAV'!F40</f>
        <v>6392.7624839481578</v>
      </c>
      <c r="F90" s="85">
        <f>'R7 - RAV'!G40</f>
        <v>6608.4139268104327</v>
      </c>
      <c r="G90" s="85">
        <f>'R7 - RAV'!H40</f>
        <v>6785.8198097604263</v>
      </c>
      <c r="H90" s="85">
        <f>'R7 - RAV'!I40</f>
        <v>6962.8626576979159</v>
      </c>
      <c r="I90" s="89"/>
      <c r="L90" s="89"/>
    </row>
    <row r="91" spans="1:14">
      <c r="B91" s="846" t="s">
        <v>256</v>
      </c>
      <c r="C91" s="848" t="str">
        <f>Data!$C$9</f>
        <v>£m 18/19</v>
      </c>
      <c r="D91" s="118">
        <f>IFERROR('R6 - Net Debt'!D63,0)</f>
        <v>6447.4469524846099</v>
      </c>
      <c r="E91" s="118">
        <f>IFERROR('R6 - Net Debt'!E63,0)</f>
        <v>6733.2291379045282</v>
      </c>
      <c r="F91" s="118">
        <f>IFERROR('R6 - Net Debt'!F63,0)</f>
        <v>6721.5007704178042</v>
      </c>
      <c r="G91" s="118">
        <f>IFERROR('R6 - Net Debt'!G63,0)</f>
        <v>6890.7162140847186</v>
      </c>
      <c r="H91" s="118">
        <f>IFERROR('R6 - Net Debt'!H63,0)</f>
        <v>7032.1673645876726</v>
      </c>
      <c r="I91" s="89"/>
      <c r="L91" s="89"/>
    </row>
    <row r="92" spans="1:14">
      <c r="L92" s="89"/>
    </row>
    <row r="93" spans="1:14">
      <c r="L93" s="89"/>
    </row>
    <row r="94" spans="1:14">
      <c r="L94" s="89"/>
    </row>
  </sheetData>
  <sheetProtection algorithmName="SHA-512" hashValue="e+ECkBdp8X6uQRvt5sdJg9Q/TJtpbJg7OSkiWca46SXO/7P5y6MqBwGD8m6pAH9VZAFiBKaI+8Ksbpbvsk2HYg==" saltValue="lL4YMpVjXtXPjvcuICTx9A==" spinCount="100000" sheet="1" formatCells="0" formatColumns="0" formatRows="0" insertColumns="0" insertRows="0" insertHyperlinks="0" deleteColumns="0" deleteRows="0" sort="0" autoFilter="0" pivotTables="0"/>
  <phoneticPr fontId="265" type="noConversion"/>
  <conditionalFormatting sqref="D6:G6">
    <cfRule type="expression" dxfId="88" priority="8">
      <formula>AND(D$5="Actuals",E$5="Forecast")</formula>
    </cfRule>
  </conditionalFormatting>
  <conditionalFormatting sqref="H6">
    <cfRule type="expression" dxfId="87" priority="201">
      <formula>AND(H$5="Actuals",#REF!="Forecast")</formula>
    </cfRule>
  </conditionalFormatting>
  <conditionalFormatting sqref="D7:H7">
    <cfRule type="expression" dxfId="86"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38"/>
  <sheetViews>
    <sheetView showGridLines="0" zoomScale="60" zoomScaleNormal="60" workbookViewId="0">
      <pane ySplit="7" topLeftCell="A26" activePane="bottomLeft" state="frozen"/>
      <selection pane="bottomLeft" activeCell="M44" sqref="M44"/>
    </sheetView>
  </sheetViews>
  <sheetFormatPr defaultRowHeight="13.5" outlineLevelCol="1"/>
  <cols>
    <col min="1" max="1" width="8.3828125" customWidth="1"/>
    <col min="2" max="2" width="58.3828125" style="89" customWidth="1"/>
    <col min="3" max="3" width="22.15234375" style="89" customWidth="1"/>
    <col min="4" max="4" width="13.3828125" style="70" customWidth="1"/>
    <col min="5" max="9" width="11.15234375" customWidth="1"/>
    <col min="10" max="10" width="5" customWidth="1"/>
    <col min="11" max="20" width="9.23046875" customWidth="1" outlineLevel="1"/>
  </cols>
  <sheetData>
    <row r="1" spans="1:10" ht="20">
      <c r="A1" s="1170" t="s">
        <v>257</v>
      </c>
      <c r="B1" s="754"/>
      <c r="C1" s="754"/>
      <c r="D1" s="755"/>
      <c r="E1" s="756"/>
      <c r="F1" s="756"/>
      <c r="G1" s="756"/>
      <c r="H1" s="756"/>
      <c r="I1" s="756"/>
      <c r="J1" s="1175"/>
    </row>
    <row r="2" spans="1:10" ht="20">
      <c r="A2" s="644" t="str">
        <f t="shared" ref="A2" si="0">Licensee</f>
        <v>NGET (TO)</v>
      </c>
      <c r="B2" s="647"/>
      <c r="C2" s="647"/>
      <c r="D2" s="69"/>
      <c r="E2" s="16"/>
      <c r="F2" s="16"/>
      <c r="G2" s="16"/>
      <c r="H2" s="16"/>
      <c r="I2" s="16"/>
      <c r="J2" s="66"/>
    </row>
    <row r="3" spans="1:10" ht="20">
      <c r="A3" s="639">
        <f>Reporting_Year</f>
        <v>2022</v>
      </c>
      <c r="B3" s="965"/>
      <c r="C3" s="965"/>
      <c r="D3" s="966"/>
      <c r="E3" s="963"/>
      <c r="F3" s="963"/>
      <c r="G3" s="963"/>
      <c r="H3" s="963"/>
      <c r="I3" s="963"/>
      <c r="J3" s="120"/>
    </row>
    <row r="4" spans="1:10" s="2" customFormat="1" ht="12.75" customHeight="1">
      <c r="B4" s="67"/>
      <c r="C4" s="67"/>
      <c r="D4" s="70"/>
    </row>
    <row r="5" spans="1:10" s="2" customFormat="1">
      <c r="B5" s="67"/>
      <c r="C5" s="67"/>
      <c r="D5" s="70"/>
      <c r="E5" s="249" t="str">
        <f>IF(E6&lt;=Reporting_Year,"Actuals","Forecast")</f>
        <v>Actuals</v>
      </c>
      <c r="F5" s="249" t="str">
        <f>IF(F6&lt;=Reporting_Year,"Actuals","Forecast")</f>
        <v>Forecast</v>
      </c>
      <c r="G5" s="249" t="str">
        <f>IF(G6&lt;=Reporting_Year,"Actuals","Forecast")</f>
        <v>Forecast</v>
      </c>
      <c r="H5" s="249" t="str">
        <f>IF(H6&lt;=Reporting_Year,"Actuals","Forecast")</f>
        <v>Forecast</v>
      </c>
      <c r="I5" s="249" t="str">
        <f>IF(I6&lt;=Reporting_Year,"Actuals","Forecast")</f>
        <v>Forecast</v>
      </c>
    </row>
    <row r="6" spans="1:10" s="2" customFormat="1">
      <c r="B6" s="67"/>
      <c r="C6" s="67"/>
      <c r="D6" s="70"/>
      <c r="E6" s="666">
        <f>RIIO_2_start_date</f>
        <v>2022</v>
      </c>
      <c r="F6" s="666">
        <f>E6+1</f>
        <v>2023</v>
      </c>
      <c r="G6" s="666">
        <f>F6+1</f>
        <v>2024</v>
      </c>
      <c r="H6" s="666">
        <f t="shared" ref="H6:I6" si="1">G6+1</f>
        <v>2025</v>
      </c>
      <c r="I6" s="666">
        <f t="shared" si="1"/>
        <v>2026</v>
      </c>
    </row>
    <row r="7" spans="1:10" s="2" customFormat="1">
      <c r="B7" s="464"/>
      <c r="C7" s="464"/>
      <c r="D7" s="76"/>
      <c r="E7" s="43" t="str">
        <f>RIIO_2_start_date-1&amp;"/"&amp;RIGHT(RIIO_2_start_date,2)</f>
        <v>2021/22</v>
      </c>
      <c r="F7" s="43" t="str">
        <f>RIIO_2_start_date&amp;"/"&amp;RIGHT(RIIO_2_start_date+1,2)</f>
        <v>2022/23</v>
      </c>
      <c r="G7" s="43" t="str">
        <f>RIIO_2_start_date+1&amp;"/"&amp;RIGHT(RIIO_2_start_date+2,2)</f>
        <v>2023/24</v>
      </c>
      <c r="H7" s="43" t="str">
        <f>RIIO_2_start_date+2&amp;"/"&amp;RIGHT(RIIO_2_start_date+3,2)</f>
        <v>2024/25</v>
      </c>
      <c r="I7" s="43" t="str">
        <f>RIIO_2_start_date+3&amp;"/"&amp;RIGHT(RIIO_2_start_date+4,2)</f>
        <v>2025/26</v>
      </c>
    </row>
    <row r="8" spans="1:10" s="2" customFormat="1">
      <c r="B8" s="464"/>
      <c r="C8" s="464"/>
      <c r="D8" s="76"/>
      <c r="E8" s="29"/>
      <c r="F8" s="29"/>
      <c r="G8" s="29"/>
      <c r="H8" s="29"/>
      <c r="I8" s="29"/>
    </row>
    <row r="9" spans="1:10" s="2" customFormat="1">
      <c r="B9" s="465" t="s">
        <v>258</v>
      </c>
      <c r="C9" s="465"/>
      <c r="D9" s="74"/>
      <c r="E9" s="41"/>
      <c r="F9" s="41"/>
      <c r="G9" s="41"/>
      <c r="H9" s="41"/>
      <c r="I9" s="41"/>
      <c r="J9" s="42"/>
    </row>
    <row r="10" spans="1:10" s="2" customFormat="1">
      <c r="B10" s="464"/>
      <c r="C10" s="464"/>
      <c r="D10" s="76"/>
      <c r="E10" s="29"/>
      <c r="F10" s="29"/>
      <c r="G10" s="29"/>
      <c r="H10" s="29"/>
      <c r="I10" s="29"/>
    </row>
    <row r="11" spans="1:10" s="2" customFormat="1">
      <c r="B11" s="1063" t="s">
        <v>259</v>
      </c>
      <c r="C11" s="464"/>
      <c r="D11" s="70"/>
    </row>
    <row r="12" spans="1:10" s="2" customFormat="1">
      <c r="B12" s="362"/>
      <c r="C12" s="464"/>
      <c r="D12" s="70"/>
    </row>
    <row r="13" spans="1:10" s="2" customFormat="1">
      <c r="B13" s="466" t="s">
        <v>260</v>
      </c>
      <c r="C13" s="28" t="str">
        <f>IF(Licensee="NGGT (SO)","SORt* x  PIt* / PI2018/19","Rt* x  PIt* / PI2018/19")</f>
        <v>Rt* x  PIt* / PI2018/19</v>
      </c>
      <c r="D13" s="75" t="s">
        <v>261</v>
      </c>
      <c r="E13" s="654">
        <v>1808.3990191529267</v>
      </c>
      <c r="F13" s="654"/>
      <c r="G13" s="654"/>
      <c r="H13" s="654"/>
      <c r="I13" s="654"/>
    </row>
    <row r="14" spans="1:10" s="2" customFormat="1">
      <c r="B14" s="466" t="s">
        <v>262</v>
      </c>
      <c r="C14" s="656" t="str">
        <f>IF(Licensee="NGGT (SO)","SOADJt*","ADJt*")</f>
        <v>ADJt*</v>
      </c>
      <c r="D14" s="75" t="s">
        <v>261</v>
      </c>
      <c r="E14" s="654">
        <v>0</v>
      </c>
      <c r="F14" s="654"/>
      <c r="G14" s="654"/>
      <c r="H14" s="654"/>
      <c r="I14" s="654"/>
    </row>
    <row r="15" spans="1:10" s="2" customFormat="1">
      <c r="B15" s="466" t="s">
        <v>263</v>
      </c>
      <c r="C15" s="656" t="str">
        <f>IF(Licensee="NGGT (SO)","SOADJRt*","ADJRt*")</f>
        <v>ADJRt*</v>
      </c>
      <c r="D15" s="75" t="s">
        <v>261</v>
      </c>
      <c r="E15" s="445">
        <f>SUM(E13:E14)</f>
        <v>1808.3990191529267</v>
      </c>
      <c r="F15" s="445">
        <f t="shared" ref="F15:I15" si="2">SUM(F13:F14)</f>
        <v>0</v>
      </c>
      <c r="G15" s="445">
        <f t="shared" si="2"/>
        <v>0</v>
      </c>
      <c r="H15" s="445">
        <f t="shared" si="2"/>
        <v>0</v>
      </c>
      <c r="I15" s="445">
        <f t="shared" si="2"/>
        <v>0</v>
      </c>
    </row>
    <row r="16" spans="1:10" s="2" customFormat="1">
      <c r="B16" s="466" t="s">
        <v>264</v>
      </c>
      <c r="C16" s="656" t="str">
        <f>IF(OR(Licensee="ESO",Licensee="NGGT (SO)"),"SOLARt","LARt")</f>
        <v>LARt</v>
      </c>
      <c r="D16" s="75" t="s">
        <v>261</v>
      </c>
      <c r="E16" s="654">
        <v>-43.747463466164703</v>
      </c>
      <c r="F16" s="654"/>
      <c r="G16" s="654"/>
      <c r="H16" s="654"/>
      <c r="I16" s="654"/>
    </row>
    <row r="17" spans="2:10" s="2" customFormat="1">
      <c r="B17" s="466" t="s">
        <v>265</v>
      </c>
      <c r="C17" s="656" t="str">
        <f>IF(Licensee="NGGT (SO)","SOKt","Kt")</f>
        <v>Kt</v>
      </c>
      <c r="D17" s="75" t="s">
        <v>261</v>
      </c>
      <c r="E17" s="654">
        <v>-15.416465335266759</v>
      </c>
      <c r="F17" s="654"/>
      <c r="G17" s="654"/>
      <c r="H17" s="654"/>
      <c r="I17" s="654"/>
    </row>
    <row r="18" spans="2:10" s="2" customFormat="1">
      <c r="B18" s="464" t="s">
        <v>266</v>
      </c>
      <c r="C18" s="464" t="str">
        <f>IF(Licensee="ESO","SOIARt",IF(Licensee="NGGT (SO)","SOARt","ARt"))</f>
        <v>ARt</v>
      </c>
      <c r="D18" s="76" t="s">
        <v>261</v>
      </c>
      <c r="E18" s="432">
        <f>SUM(E15:E17)</f>
        <v>1749.2350903514953</v>
      </c>
      <c r="F18" s="432">
        <f t="shared" ref="F18:I18" si="3">SUM(F15:F17)</f>
        <v>0</v>
      </c>
      <c r="G18" s="432">
        <f t="shared" si="3"/>
        <v>0</v>
      </c>
      <c r="H18" s="432">
        <f t="shared" si="3"/>
        <v>0</v>
      </c>
      <c r="I18" s="432">
        <f t="shared" si="3"/>
        <v>0</v>
      </c>
    </row>
    <row r="19" spans="2:10" s="2" customFormat="1">
      <c r="B19" s="67"/>
      <c r="C19" s="67"/>
      <c r="D19" s="70"/>
      <c r="E19" s="31"/>
      <c r="F19" s="31"/>
      <c r="G19" s="31"/>
      <c r="H19" s="35"/>
      <c r="I19" s="35"/>
    </row>
    <row r="20" spans="2:10" s="2" customFormat="1">
      <c r="B20" s="67" t="s">
        <v>267</v>
      </c>
      <c r="C20" s="362"/>
      <c r="D20" s="76" t="s">
        <v>261</v>
      </c>
      <c r="E20" s="432">
        <f>IF(ISBLANK(E24),0,E24-E18)</f>
        <v>38.284096168504675</v>
      </c>
      <c r="F20" s="432">
        <f t="shared" ref="F20:I20" si="4">IF(ISBLANK(F24),0,F24-F18)</f>
        <v>0</v>
      </c>
      <c r="G20" s="432">
        <f t="shared" si="4"/>
        <v>0</v>
      </c>
      <c r="H20" s="432">
        <f t="shared" si="4"/>
        <v>0</v>
      </c>
      <c r="I20" s="432">
        <f t="shared" si="4"/>
        <v>0</v>
      </c>
    </row>
    <row r="21" spans="2:10" s="2" customFormat="1">
      <c r="B21" s="67"/>
      <c r="C21" s="67"/>
      <c r="D21" s="70"/>
    </row>
    <row r="22" spans="2:10" s="2" customFormat="1">
      <c r="B22" s="67"/>
      <c r="C22" s="67"/>
      <c r="D22" s="70"/>
    </row>
    <row r="23" spans="2:10" s="2" customFormat="1" ht="14" thickBot="1">
      <c r="B23" s="67"/>
      <c r="C23" s="67"/>
      <c r="D23" s="70"/>
    </row>
    <row r="24" spans="2:10" s="2" customFormat="1" ht="14" thickBot="1">
      <c r="B24" s="1281" t="s">
        <v>268</v>
      </c>
      <c r="C24" s="362" t="s">
        <v>269</v>
      </c>
      <c r="D24" s="76" t="s">
        <v>261</v>
      </c>
      <c r="E24" s="654">
        <v>1787.5191865199999</v>
      </c>
      <c r="F24" s="654"/>
      <c r="G24" s="654"/>
      <c r="H24" s="654"/>
      <c r="I24" s="654"/>
    </row>
    <row r="25" spans="2:10" s="2" customFormat="1">
      <c r="B25" s="67"/>
      <c r="C25" s="67"/>
      <c r="D25" s="70"/>
    </row>
    <row r="26" spans="2:10" s="2" customFormat="1">
      <c r="B26" s="362" t="s">
        <v>270</v>
      </c>
      <c r="C26" s="362"/>
      <c r="D26" s="70"/>
      <c r="E26" s="70"/>
      <c r="F26" s="70"/>
      <c r="G26" s="70"/>
      <c r="H26" s="70"/>
      <c r="I26" s="70"/>
      <c r="J26" s="70"/>
    </row>
    <row r="27" spans="2:10" s="2" customFormat="1">
      <c r="B27" s="657" t="s">
        <v>271</v>
      </c>
      <c r="C27" s="657"/>
      <c r="D27" s="76" t="s">
        <v>261</v>
      </c>
      <c r="E27" s="430">
        <v>0</v>
      </c>
      <c r="F27" s="430"/>
      <c r="G27" s="430"/>
      <c r="H27" s="430"/>
      <c r="I27" s="430"/>
    </row>
    <row r="28" spans="2:10" s="2" customFormat="1">
      <c r="B28" s="657" t="s">
        <v>272</v>
      </c>
      <c r="C28" s="657"/>
      <c r="D28" s="76" t="s">
        <v>261</v>
      </c>
      <c r="E28" s="430">
        <v>0</v>
      </c>
      <c r="F28" s="430"/>
      <c r="G28" s="430"/>
      <c r="H28" s="430"/>
      <c r="I28" s="430"/>
    </row>
    <row r="29" spans="2:10" s="2" customFormat="1">
      <c r="B29" s="657" t="s">
        <v>273</v>
      </c>
      <c r="C29" s="657"/>
      <c r="D29" s="76" t="s">
        <v>261</v>
      </c>
      <c r="E29" s="430">
        <v>188.89030764999998</v>
      </c>
      <c r="F29" s="430"/>
      <c r="G29" s="430"/>
      <c r="H29" s="430"/>
      <c r="I29" s="430"/>
    </row>
    <row r="30" spans="2:10" s="2" customFormat="1">
      <c r="B30" s="657" t="s">
        <v>274</v>
      </c>
      <c r="C30" s="657"/>
      <c r="D30" s="76" t="s">
        <v>261</v>
      </c>
      <c r="E30" s="430">
        <v>0</v>
      </c>
      <c r="F30" s="430"/>
      <c r="G30" s="430"/>
      <c r="H30" s="430"/>
      <c r="I30" s="430"/>
    </row>
    <row r="31" spans="2:10" s="2" customFormat="1">
      <c r="B31" s="657" t="s">
        <v>275</v>
      </c>
      <c r="C31" s="657"/>
      <c r="D31" s="76" t="s">
        <v>261</v>
      </c>
      <c r="E31" s="430">
        <v>0</v>
      </c>
      <c r="F31" s="430"/>
      <c r="G31" s="430"/>
      <c r="H31" s="430"/>
      <c r="I31" s="430"/>
    </row>
    <row r="32" spans="2:10" s="2" customFormat="1">
      <c r="B32" s="657" t="s">
        <v>276</v>
      </c>
      <c r="C32" s="657"/>
      <c r="D32" s="76" t="s">
        <v>261</v>
      </c>
      <c r="E32" s="430">
        <v>4.4533973800000002</v>
      </c>
      <c r="F32" s="430"/>
      <c r="G32" s="430"/>
      <c r="H32" s="430"/>
      <c r="I32" s="430"/>
    </row>
    <row r="33" spans="2:13" s="2" customFormat="1">
      <c r="B33" s="657" t="s">
        <v>277</v>
      </c>
      <c r="C33" s="657"/>
      <c r="D33" s="76" t="s">
        <v>261</v>
      </c>
      <c r="E33" s="430">
        <v>30.365637960000001</v>
      </c>
      <c r="F33" s="430"/>
      <c r="G33" s="430"/>
      <c r="H33" s="430"/>
      <c r="I33" s="430"/>
    </row>
    <row r="34" spans="2:13" s="2" customFormat="1">
      <c r="B34" s="855" t="s">
        <v>278</v>
      </c>
      <c r="C34" s="855"/>
      <c r="D34" s="76" t="s">
        <v>261</v>
      </c>
      <c r="E34" s="430">
        <v>0</v>
      </c>
      <c r="F34" s="430"/>
      <c r="G34" s="430"/>
      <c r="H34" s="430"/>
      <c r="I34" s="430"/>
      <c r="M34" s="1227"/>
    </row>
    <row r="35" spans="2:13" s="2" customFormat="1">
      <c r="B35" s="721" t="s">
        <v>279</v>
      </c>
      <c r="C35" s="655"/>
      <c r="D35" s="76" t="s">
        <v>261</v>
      </c>
      <c r="E35" s="430">
        <v>0</v>
      </c>
      <c r="F35" s="430"/>
      <c r="G35" s="430"/>
      <c r="H35" s="430"/>
      <c r="I35" s="430"/>
    </row>
    <row r="36" spans="2:13" s="2" customFormat="1">
      <c r="B36" s="362" t="s">
        <v>280</v>
      </c>
      <c r="C36" s="362"/>
      <c r="D36" s="76" t="s">
        <v>261</v>
      </c>
      <c r="E36" s="432">
        <f>SUM(E27:E35)</f>
        <v>223.70934298999998</v>
      </c>
      <c r="F36" s="432">
        <f t="shared" ref="F36:I36" si="5">SUM(F27:F35)</f>
        <v>0</v>
      </c>
      <c r="G36" s="432">
        <f t="shared" si="5"/>
        <v>0</v>
      </c>
      <c r="H36" s="432">
        <f t="shared" si="5"/>
        <v>0</v>
      </c>
      <c r="I36" s="432">
        <f t="shared" si="5"/>
        <v>0</v>
      </c>
    </row>
    <row r="37" spans="2:13" s="2" customFormat="1">
      <c r="B37" s="67"/>
      <c r="C37" s="67"/>
      <c r="D37" s="70"/>
    </row>
    <row r="38" spans="2:13" s="2" customFormat="1">
      <c r="B38" s="362" t="s">
        <v>281</v>
      </c>
      <c r="D38" s="362"/>
      <c r="E38" s="857"/>
    </row>
    <row r="39" spans="2:13" s="2" customFormat="1">
      <c r="B39" s="721" t="s">
        <v>282</v>
      </c>
      <c r="C39" s="721"/>
      <c r="D39" s="76" t="s">
        <v>261</v>
      </c>
      <c r="E39" s="430">
        <v>10.86031959</v>
      </c>
      <c r="F39" s="430"/>
      <c r="G39" s="430"/>
      <c r="H39" s="430"/>
      <c r="I39" s="430"/>
    </row>
    <row r="40" spans="2:13" s="2" customFormat="1">
      <c r="B40" s="721" t="s">
        <v>283</v>
      </c>
      <c r="C40" s="721"/>
      <c r="D40" s="76" t="s">
        <v>261</v>
      </c>
      <c r="E40" s="430">
        <v>10.07886536</v>
      </c>
      <c r="F40" s="430"/>
      <c r="G40" s="430"/>
      <c r="H40" s="430"/>
      <c r="I40" s="430"/>
    </row>
    <row r="41" spans="2:13" s="2" customFormat="1">
      <c r="B41" s="721" t="s">
        <v>284</v>
      </c>
      <c r="C41" s="721"/>
      <c r="D41" s="76" t="s">
        <v>261</v>
      </c>
      <c r="E41" s="430">
        <v>1.8994631899999994</v>
      </c>
      <c r="F41" s="430"/>
      <c r="G41" s="430"/>
      <c r="H41" s="430"/>
      <c r="I41" s="430"/>
    </row>
    <row r="42" spans="2:13" s="2" customFormat="1">
      <c r="B42" s="721" t="s">
        <v>285</v>
      </c>
      <c r="C42" s="721"/>
      <c r="D42" s="76" t="s">
        <v>261</v>
      </c>
      <c r="E42" s="430">
        <v>0.69026924999999995</v>
      </c>
      <c r="F42" s="430"/>
      <c r="G42" s="430"/>
      <c r="H42" s="430"/>
      <c r="I42" s="430"/>
    </row>
    <row r="43" spans="2:13" s="2" customFormat="1">
      <c r="B43" s="721" t="s">
        <v>286</v>
      </c>
      <c r="C43" s="721"/>
      <c r="D43" s="76" t="s">
        <v>261</v>
      </c>
      <c r="E43" s="430">
        <v>1.6993263899999891</v>
      </c>
      <c r="F43" s="430"/>
      <c r="G43" s="430"/>
      <c r="H43" s="430"/>
      <c r="I43" s="430"/>
    </row>
    <row r="44" spans="2:13" s="2" customFormat="1">
      <c r="B44" s="721" t="s">
        <v>287</v>
      </c>
      <c r="C44" s="721"/>
      <c r="D44" s="76" t="s">
        <v>261</v>
      </c>
      <c r="E44" s="430">
        <v>0</v>
      </c>
      <c r="F44" s="430"/>
      <c r="G44" s="430"/>
      <c r="H44" s="430"/>
      <c r="I44" s="430"/>
    </row>
    <row r="45" spans="2:13" s="2" customFormat="1">
      <c r="B45" s="721" t="s">
        <v>287</v>
      </c>
      <c r="C45" s="721"/>
      <c r="D45" s="76" t="s">
        <v>261</v>
      </c>
      <c r="E45" s="430">
        <v>0</v>
      </c>
      <c r="F45" s="430"/>
      <c r="G45" s="430"/>
      <c r="H45" s="430"/>
      <c r="I45" s="430"/>
    </row>
    <row r="46" spans="2:13" s="2" customFormat="1">
      <c r="B46" s="721" t="s">
        <v>287</v>
      </c>
      <c r="C46" s="721"/>
      <c r="D46" s="76" t="s">
        <v>261</v>
      </c>
      <c r="E46" s="430">
        <v>0</v>
      </c>
      <c r="F46" s="430"/>
      <c r="G46" s="430"/>
      <c r="H46" s="430"/>
      <c r="I46" s="430"/>
    </row>
    <row r="47" spans="2:13" s="2" customFormat="1">
      <c r="B47" s="721" t="s">
        <v>287</v>
      </c>
      <c r="C47" s="721"/>
      <c r="D47" s="76" t="s">
        <v>261</v>
      </c>
      <c r="E47" s="430">
        <v>0</v>
      </c>
      <c r="F47" s="430"/>
      <c r="G47" s="430"/>
      <c r="H47" s="430"/>
      <c r="I47" s="430"/>
    </row>
    <row r="48" spans="2:13" s="2" customFormat="1">
      <c r="B48" s="721" t="s">
        <v>287</v>
      </c>
      <c r="C48" s="721"/>
      <c r="D48" s="76" t="s">
        <v>261</v>
      </c>
      <c r="E48" s="430">
        <v>0</v>
      </c>
      <c r="F48" s="430"/>
      <c r="G48" s="430"/>
      <c r="H48" s="430"/>
      <c r="I48" s="430"/>
    </row>
    <row r="49" spans="1:14" s="2" customFormat="1">
      <c r="B49" s="721" t="s">
        <v>287</v>
      </c>
      <c r="C49" s="721"/>
      <c r="D49" s="76" t="s">
        <v>261</v>
      </c>
      <c r="E49" s="430">
        <v>0</v>
      </c>
      <c r="F49" s="430"/>
      <c r="G49" s="430"/>
      <c r="H49" s="430"/>
      <c r="I49" s="430"/>
    </row>
    <row r="50" spans="1:14" s="2" customFormat="1">
      <c r="B50" s="721" t="s">
        <v>287</v>
      </c>
      <c r="C50" s="721"/>
      <c r="D50" s="76" t="s">
        <v>261</v>
      </c>
      <c r="E50" s="430">
        <v>0</v>
      </c>
      <c r="F50" s="430"/>
      <c r="G50" s="430"/>
      <c r="H50" s="430"/>
      <c r="I50" s="430"/>
    </row>
    <row r="51" spans="1:14" s="2" customFormat="1">
      <c r="B51" s="721" t="s">
        <v>288</v>
      </c>
      <c r="C51" s="721"/>
      <c r="D51" s="76" t="s">
        <v>261</v>
      </c>
      <c r="E51" s="430">
        <v>0</v>
      </c>
      <c r="F51" s="430"/>
      <c r="G51" s="430"/>
      <c r="H51" s="430"/>
      <c r="I51" s="430"/>
    </row>
    <row r="52" spans="1:14" s="2" customFormat="1">
      <c r="B52" s="362" t="s">
        <v>289</v>
      </c>
      <c r="C52" s="362"/>
      <c r="D52" s="76" t="s">
        <v>261</v>
      </c>
      <c r="E52" s="432">
        <f>SUM(E39:E51)</f>
        <v>25.228243779999985</v>
      </c>
      <c r="F52" s="432">
        <f>SUM(F39:F51)</f>
        <v>0</v>
      </c>
      <c r="G52" s="432">
        <f>SUM(G39:G51)</f>
        <v>0</v>
      </c>
      <c r="H52" s="432">
        <f>SUM(H39:H51)</f>
        <v>0</v>
      </c>
      <c r="I52" s="432">
        <f>SUM(I39:I51)</f>
        <v>0</v>
      </c>
    </row>
    <row r="53" spans="1:14" s="2" customFormat="1">
      <c r="B53" s="67"/>
      <c r="C53" s="67"/>
      <c r="D53" s="70"/>
      <c r="E53" s="32"/>
      <c r="F53" s="32"/>
      <c r="G53" s="32"/>
      <c r="H53" s="32"/>
      <c r="I53" s="32"/>
    </row>
    <row r="54" spans="1:14" s="2" customFormat="1">
      <c r="B54" s="637" t="s">
        <v>290</v>
      </c>
      <c r="C54" s="637"/>
      <c r="D54" s="76" t="s">
        <v>261</v>
      </c>
      <c r="E54" s="432">
        <f>E24+E36+E52</f>
        <v>2036.45677329</v>
      </c>
      <c r="F54" s="432">
        <f>F24+F36+F52</f>
        <v>0</v>
      </c>
      <c r="G54" s="432">
        <f>G24+G36+G52</f>
        <v>0</v>
      </c>
      <c r="H54" s="432">
        <f>H24+H36+H52</f>
        <v>0</v>
      </c>
      <c r="I54" s="432">
        <f>I24+I36+I52</f>
        <v>0</v>
      </c>
    </row>
    <row r="55" spans="1:14" s="2" customFormat="1">
      <c r="B55" s="694" t="s">
        <v>291</v>
      </c>
      <c r="C55" s="694"/>
      <c r="D55" s="76" t="s">
        <v>261</v>
      </c>
      <c r="E55" s="430">
        <v>2036.45677329</v>
      </c>
      <c r="F55" s="430"/>
      <c r="G55" s="430"/>
      <c r="H55" s="430"/>
      <c r="I55" s="430"/>
    </row>
    <row r="56" spans="1:14" s="2" customFormat="1">
      <c r="B56" s="67" t="s">
        <v>292</v>
      </c>
      <c r="C56" s="67"/>
      <c r="D56" s="70"/>
      <c r="E56" s="61" t="str">
        <f>IF(ABS(E54-E55)&lt;Data!$F$7,"OK","Error")</f>
        <v>OK</v>
      </c>
      <c r="F56" s="61" t="str">
        <f>IF(ABS(F54-F55)&lt;Data!$F$7,"OK","Error")</f>
        <v>OK</v>
      </c>
      <c r="G56" s="61" t="str">
        <f>IF(ABS(G54-G55)&lt;Data!$F$7,"OK","Error")</f>
        <v>OK</v>
      </c>
      <c r="H56" s="61" t="str">
        <f>IF(ABS(H54-H55)&lt;Data!$F$7,"OK","Error")</f>
        <v>OK</v>
      </c>
      <c r="I56" s="61" t="str">
        <f>IF(ABS(I54-I55)&lt;Data!$F$7,"OK","Error")</f>
        <v>OK</v>
      </c>
    </row>
    <row r="57" spans="1:14" s="2" customFormat="1">
      <c r="B57" s="67"/>
      <c r="C57" s="67"/>
      <c r="D57" s="70"/>
      <c r="E57" s="27"/>
      <c r="F57" s="27"/>
      <c r="G57" s="27"/>
      <c r="H57" s="27"/>
      <c r="I57" s="27"/>
    </row>
    <row r="58" spans="1:14" s="2" customFormat="1">
      <c r="B58" s="67"/>
      <c r="C58" s="67"/>
      <c r="D58" s="70"/>
    </row>
    <row r="59" spans="1:14" s="2" customFormat="1">
      <c r="B59" s="67"/>
      <c r="C59" s="67"/>
      <c r="D59" s="70"/>
    </row>
    <row r="60" spans="1:14" s="2" customFormat="1">
      <c r="B60" s="465" t="s">
        <v>293</v>
      </c>
      <c r="C60" s="465"/>
      <c r="D60" s="74"/>
      <c r="E60" s="41"/>
      <c r="F60" s="41"/>
      <c r="G60" s="41"/>
      <c r="H60" s="41"/>
      <c r="I60" s="41"/>
      <c r="J60" s="42"/>
    </row>
    <row r="61" spans="1:14" s="2" customFormat="1">
      <c r="A61"/>
      <c r="B61" s="89"/>
      <c r="C61" s="89"/>
      <c r="D61" s="70"/>
      <c r="E61"/>
      <c r="F61"/>
      <c r="G61"/>
      <c r="H61"/>
      <c r="I61"/>
      <c r="J61"/>
      <c r="K61"/>
      <c r="L61"/>
      <c r="M61"/>
      <c r="N61"/>
    </row>
    <row r="62" spans="1:14" s="2" customFormat="1">
      <c r="A62"/>
      <c r="B62" s="89"/>
      <c r="C62" s="89"/>
      <c r="D62" s="70"/>
      <c r="E62" s="249" t="str">
        <f>IF(E$6&lt;=Reporting_Year,"Actuals","N/A")</f>
        <v>Actuals</v>
      </c>
      <c r="F62" s="249" t="str">
        <f>IF(F$6&lt;=Reporting_Year,"Actuals","N/A")</f>
        <v>N/A</v>
      </c>
      <c r="G62" s="249" t="str">
        <f>IF(G$6&lt;=Reporting_Year,"Actuals","N/A")</f>
        <v>N/A</v>
      </c>
      <c r="H62" s="249" t="str">
        <f>IF(H$6&lt;=Reporting_Year,"Actuals","N/A")</f>
        <v>N/A</v>
      </c>
      <c r="I62" s="249" t="str">
        <f>IF(I$6&lt;=Reporting_Year,"Actuals","N/A")</f>
        <v>N/A</v>
      </c>
      <c r="J62"/>
      <c r="K62"/>
      <c r="L62"/>
      <c r="M62"/>
      <c r="N62"/>
    </row>
    <row r="63" spans="1:14" s="2" customFormat="1">
      <c r="A63"/>
      <c r="B63" s="89"/>
      <c r="C63" s="89"/>
      <c r="D63" s="70"/>
      <c r="E63"/>
      <c r="F63"/>
      <c r="G63"/>
      <c r="H63"/>
      <c r="I63"/>
      <c r="J63"/>
      <c r="K63"/>
      <c r="L63"/>
      <c r="M63"/>
      <c r="N63"/>
    </row>
    <row r="64" spans="1:14" s="2" customFormat="1">
      <c r="A64"/>
      <c r="B64" s="131" t="s">
        <v>294</v>
      </c>
      <c r="C64" s="89"/>
      <c r="D64" s="76" t="s">
        <v>261</v>
      </c>
      <c r="E64" s="902">
        <f>E55</f>
        <v>2036.45677329</v>
      </c>
      <c r="F64" s="902">
        <f t="shared" ref="F64:I64" si="6">F55</f>
        <v>0</v>
      </c>
      <c r="G64" s="902">
        <f t="shared" si="6"/>
        <v>0</v>
      </c>
      <c r="H64" s="902">
        <f t="shared" si="6"/>
        <v>0</v>
      </c>
      <c r="I64" s="902">
        <f t="shared" si="6"/>
        <v>0</v>
      </c>
      <c r="J64"/>
      <c r="K64"/>
      <c r="L64"/>
      <c r="M64"/>
      <c r="N64"/>
    </row>
    <row r="65" spans="1:14" s="2" customFormat="1">
      <c r="A65"/>
      <c r="B65" s="2" t="s">
        <v>295</v>
      </c>
      <c r="C65" s="89"/>
      <c r="D65" s="76" t="s">
        <v>261</v>
      </c>
      <c r="E65" s="902">
        <f>E24</f>
        <v>1787.5191865199999</v>
      </c>
      <c r="F65" s="902">
        <f>F24</f>
        <v>0</v>
      </c>
      <c r="G65" s="902">
        <f>G24</f>
        <v>0</v>
      </c>
      <c r="H65" s="902">
        <f>H24</f>
        <v>0</v>
      </c>
      <c r="I65" s="902">
        <f>I24</f>
        <v>0</v>
      </c>
      <c r="J65"/>
      <c r="K65"/>
      <c r="L65"/>
      <c r="M65"/>
      <c r="N65"/>
    </row>
    <row r="66" spans="1:14" s="2" customFormat="1">
      <c r="A66"/>
      <c r="B66" s="694"/>
      <c r="C66" s="89"/>
      <c r="D66" s="76"/>
      <c r="E66" s="695"/>
      <c r="F66" s="695"/>
      <c r="G66" s="695"/>
      <c r="H66"/>
      <c r="I66"/>
      <c r="J66"/>
      <c r="K66"/>
      <c r="L66"/>
      <c r="M66"/>
      <c r="N66"/>
    </row>
    <row r="67" spans="1:14" ht="14" thickBot="1">
      <c r="B67" s="1005"/>
    </row>
    <row r="68" spans="1:14" ht="14" thickBot="1">
      <c r="B68" s="131" t="s">
        <v>296</v>
      </c>
      <c r="D68" s="76" t="s">
        <v>261</v>
      </c>
      <c r="E68" s="1286">
        <f>'R3 - Totex - Reconciliation'!D127-E80</f>
        <v>475.93311740000001</v>
      </c>
      <c r="F68" s="1287">
        <f>'R3 - Totex - Reconciliation'!E127-F80</f>
        <v>0</v>
      </c>
      <c r="G68" s="1287">
        <f>'R3 - Totex - Reconciliation'!F127-G80</f>
        <v>0</v>
      </c>
      <c r="H68" s="1287">
        <f>'R3 - Totex - Reconciliation'!G127-H80</f>
        <v>0</v>
      </c>
      <c r="I68" s="1288">
        <f>'R3 - Totex - Reconciliation'!H127-I80</f>
        <v>0</v>
      </c>
    </row>
    <row r="69" spans="1:14">
      <c r="B69" s="7" t="s">
        <v>297</v>
      </c>
      <c r="D69"/>
    </row>
    <row r="70" spans="1:14" ht="8.15" customHeight="1" thickBot="1">
      <c r="B70"/>
      <c r="D70"/>
    </row>
    <row r="71" spans="1:14" ht="12.65" customHeight="1" thickBot="1">
      <c r="B71" s="2" t="s">
        <v>298</v>
      </c>
      <c r="D71" s="76" t="s">
        <v>261</v>
      </c>
      <c r="E71" s="1327">
        <f>'R3 - Totex - Reconciliation'!D146+E80</f>
        <v>16.810869073304332</v>
      </c>
      <c r="F71" s="1328">
        <f>'R3 - Totex - Reconciliation'!E146</f>
        <v>0</v>
      </c>
      <c r="G71" s="1328">
        <f>'R3 - Totex - Reconciliation'!F146</f>
        <v>0</v>
      </c>
      <c r="H71" s="1328">
        <f>'R3 - Totex - Reconciliation'!G146</f>
        <v>0</v>
      </c>
      <c r="I71" s="1329">
        <f>'R3 - Totex - Reconciliation'!H146</f>
        <v>0</v>
      </c>
    </row>
    <row r="72" spans="1:14">
      <c r="B72" t="s">
        <v>299</v>
      </c>
      <c r="D72" s="76" t="s">
        <v>261</v>
      </c>
      <c r="E72" s="1326">
        <v>0</v>
      </c>
      <c r="F72" s="1326"/>
      <c r="G72" s="1326"/>
      <c r="H72" s="1326"/>
      <c r="I72" s="1326"/>
    </row>
    <row r="73" spans="1:14" ht="5.15" customHeight="1">
      <c r="B73"/>
      <c r="D73" s="89"/>
      <c r="E73" s="89"/>
      <c r="F73" s="89"/>
      <c r="G73" s="89"/>
      <c r="H73" s="89"/>
      <c r="I73" s="89"/>
      <c r="J73" s="89"/>
      <c r="L73" s="89"/>
      <c r="M73" s="89"/>
    </row>
    <row r="74" spans="1:14">
      <c r="B74" s="2" t="s">
        <v>300</v>
      </c>
      <c r="D74" s="76" t="s">
        <v>261</v>
      </c>
      <c r="E74" s="1330">
        <f>'R3 - Totex - Reconciliation'!D127+'R3 - Totex - Reconciliation'!D146+E72</f>
        <v>492.74398647330435</v>
      </c>
      <c r="F74" s="1330">
        <f>'R3 - Totex - Reconciliation'!E127+'R3 - Totex - Reconciliation'!E146+F72-F80</f>
        <v>0</v>
      </c>
      <c r="G74" s="1330">
        <f>'R3 - Totex - Reconciliation'!F127+'R3 - Totex - Reconciliation'!F146+G72-G80</f>
        <v>0</v>
      </c>
      <c r="H74" s="1330">
        <f>'R3 - Totex - Reconciliation'!G127+'R3 - Totex - Reconciliation'!G146+H72-H80</f>
        <v>0</v>
      </c>
      <c r="I74" s="1330">
        <f>'R3 - Totex - Reconciliation'!H127+'R3 - Totex - Reconciliation'!H146+I72-I80</f>
        <v>0</v>
      </c>
    </row>
    <row r="75" spans="1:14">
      <c r="B75" s="7" t="s">
        <v>301</v>
      </c>
      <c r="D75" s="76" t="s">
        <v>261</v>
      </c>
      <c r="E75" s="1289" t="str">
        <f>IF(ABS(E74-SUM(E68,E71))&lt;=materiality_threshold,"ok","error")</f>
        <v>ok</v>
      </c>
      <c r="F75" s="1289" t="str">
        <f>IF(ABS(F74-SUM(F68,F71))&lt;=materiality_threshold,"ok","error")</f>
        <v>ok</v>
      </c>
      <c r="G75" s="1289" t="str">
        <f>IF(ABS(G74-SUM(G68,G71))&lt;=materiality_threshold,"ok","error")</f>
        <v>ok</v>
      </c>
      <c r="H75" s="1289" t="str">
        <f>IF(ABS(H74-SUM(H68,H71))&lt;=materiality_threshold,"ok","error")</f>
        <v>ok</v>
      </c>
      <c r="I75" s="1289" t="str">
        <f>IF(ABS(I74-SUM(I68,I71))&lt;=materiality_threshold,"ok","error")</f>
        <v>ok</v>
      </c>
    </row>
    <row r="76" spans="1:14">
      <c r="B76"/>
      <c r="D76" s="76"/>
      <c r="E76" s="76"/>
      <c r="F76" s="76"/>
      <c r="G76" s="76"/>
      <c r="H76" s="76"/>
      <c r="I76" s="76"/>
    </row>
    <row r="77" spans="1:14">
      <c r="B77" s="131" t="s">
        <v>302</v>
      </c>
      <c r="D77" s="76" t="s">
        <v>261</v>
      </c>
      <c r="E77" s="1008">
        <f>E64-E68</f>
        <v>1560.5236558900001</v>
      </c>
      <c r="F77" s="1008">
        <f>F64-F68</f>
        <v>0</v>
      </c>
      <c r="G77" s="1008">
        <f>G64-G68</f>
        <v>0</v>
      </c>
      <c r="H77" s="1008">
        <f>H64-H68</f>
        <v>0</v>
      </c>
      <c r="I77" s="1008">
        <f>I64-I68</f>
        <v>0</v>
      </c>
    </row>
    <row r="78" spans="1:14">
      <c r="B78" s="685" t="s">
        <v>303</v>
      </c>
      <c r="D78" s="76" t="s">
        <v>261</v>
      </c>
      <c r="E78" s="1008">
        <f>E65-E74</f>
        <v>1294.7752000466955</v>
      </c>
      <c r="F78" s="1008">
        <f>F65-F74</f>
        <v>0</v>
      </c>
      <c r="G78" s="1008">
        <f>G65-G74</f>
        <v>0</v>
      </c>
      <c r="H78" s="1008">
        <f>H65-H74</f>
        <v>0</v>
      </c>
      <c r="I78" s="1008">
        <f>I65-I74</f>
        <v>0</v>
      </c>
    </row>
    <row r="80" spans="1:14">
      <c r="B80" s="131" t="s">
        <v>304</v>
      </c>
      <c r="D80" s="76" t="s">
        <v>261</v>
      </c>
      <c r="E80" s="430">
        <v>514</v>
      </c>
      <c r="F80" s="430"/>
      <c r="G80" s="430"/>
      <c r="H80" s="430"/>
      <c r="I80" s="430"/>
    </row>
    <row r="81" spans="2:12" ht="16.399999999999999" customHeight="1">
      <c r="B81" s="7" t="s">
        <v>297</v>
      </c>
    </row>
    <row r="82" spans="2:12" ht="22.4" customHeight="1">
      <c r="B82" t="s">
        <v>305</v>
      </c>
      <c r="D82"/>
    </row>
    <row r="83" spans="2:12">
      <c r="B83" s="67" t="s">
        <v>306</v>
      </c>
      <c r="D83" s="76" t="s">
        <v>261</v>
      </c>
      <c r="E83" s="920">
        <v>0</v>
      </c>
      <c r="F83" s="920"/>
      <c r="G83" s="920"/>
      <c r="H83" s="920"/>
      <c r="I83" s="920"/>
    </row>
    <row r="84" spans="2:12">
      <c r="B84" s="1105" t="s">
        <v>307</v>
      </c>
      <c r="D84" s="76" t="s">
        <v>261</v>
      </c>
      <c r="E84" s="920">
        <v>0</v>
      </c>
      <c r="F84" s="430"/>
      <c r="G84" s="430"/>
      <c r="H84" s="430"/>
      <c r="I84" s="430"/>
    </row>
    <row r="85" spans="2:12">
      <c r="B85" s="67" t="s">
        <v>308</v>
      </c>
      <c r="D85" s="76" t="s">
        <v>261</v>
      </c>
      <c r="E85" s="967">
        <f>SUM(E83:E84)</f>
        <v>0</v>
      </c>
      <c r="F85" s="967">
        <f t="shared" ref="F85:I85" si="7">SUM(F83:F84)</f>
        <v>0</v>
      </c>
      <c r="G85" s="967">
        <f t="shared" si="7"/>
        <v>0</v>
      </c>
      <c r="H85" s="967">
        <f t="shared" si="7"/>
        <v>0</v>
      </c>
      <c r="I85" s="967">
        <f t="shared" si="7"/>
        <v>0</v>
      </c>
    </row>
    <row r="86" spans="2:12" ht="5.15" customHeight="1">
      <c r="B86" s="67"/>
      <c r="D86" s="76"/>
      <c r="E86" s="76"/>
      <c r="F86" s="76"/>
      <c r="G86" s="76"/>
      <c r="H86" s="76"/>
      <c r="I86" s="76"/>
      <c r="L86" s="76"/>
    </row>
    <row r="87" spans="2:12">
      <c r="B87" s="2" t="s">
        <v>309</v>
      </c>
      <c r="D87" s="76" t="s">
        <v>261</v>
      </c>
      <c r="E87" s="922">
        <f>E80-E85</f>
        <v>514</v>
      </c>
      <c r="F87" s="922">
        <f t="shared" ref="F87:I87" si="8">F80-F85</f>
        <v>0</v>
      </c>
      <c r="G87" s="922">
        <f t="shared" si="8"/>
        <v>0</v>
      </c>
      <c r="H87" s="922">
        <f t="shared" si="8"/>
        <v>0</v>
      </c>
      <c r="I87" s="922">
        <f t="shared" si="8"/>
        <v>0</v>
      </c>
    </row>
    <row r="88" spans="2:12">
      <c r="B88"/>
      <c r="C88"/>
      <c r="D88"/>
    </row>
    <row r="89" spans="2:12">
      <c r="B89" s="1176" t="s">
        <v>310</v>
      </c>
      <c r="C89" s="1015"/>
      <c r="D89" s="1016" t="s">
        <v>261</v>
      </c>
      <c r="E89" s="445">
        <f>E77-E80</f>
        <v>1046.5236558900001</v>
      </c>
      <c r="F89" s="445">
        <f t="shared" ref="F89:I89" si="9">F77-F80</f>
        <v>0</v>
      </c>
      <c r="G89" s="445">
        <f t="shared" si="9"/>
        <v>0</v>
      </c>
      <c r="H89" s="445">
        <f t="shared" si="9"/>
        <v>0</v>
      </c>
      <c r="I89" s="445">
        <f t="shared" si="9"/>
        <v>0</v>
      </c>
    </row>
    <row r="90" spans="2:12">
      <c r="B90" s="1010" t="s">
        <v>311</v>
      </c>
      <c r="D90" s="76" t="s">
        <v>261</v>
      </c>
      <c r="E90" s="922">
        <f>E78-E87</f>
        <v>780.77520004669555</v>
      </c>
      <c r="F90" s="922">
        <f t="shared" ref="F90:I90" si="10">F78-F87</f>
        <v>0</v>
      </c>
      <c r="G90" s="922">
        <f t="shared" si="10"/>
        <v>0</v>
      </c>
      <c r="H90" s="922">
        <f t="shared" si="10"/>
        <v>0</v>
      </c>
      <c r="I90" s="922">
        <f t="shared" si="10"/>
        <v>0</v>
      </c>
    </row>
    <row r="91" spans="2:12">
      <c r="B91" s="1010"/>
      <c r="D91" s="76"/>
      <c r="E91" s="904"/>
      <c r="F91" s="904"/>
      <c r="G91" s="904"/>
      <c r="H91" s="904"/>
      <c r="I91" s="923"/>
    </row>
    <row r="92" spans="2:12">
      <c r="B92" s="1011" t="s">
        <v>312</v>
      </c>
      <c r="D92" s="76" t="s">
        <v>261</v>
      </c>
      <c r="E92" s="903">
        <f>'R5 - Financing'!D9</f>
        <v>243.38109058000003</v>
      </c>
      <c r="F92" s="903">
        <f>'R5 - Financing'!E9</f>
        <v>386.95477963271162</v>
      </c>
      <c r="G92" s="903">
        <f>'R5 - Financing'!F9</f>
        <v>255.09896492516353</v>
      </c>
      <c r="H92" s="903">
        <f>'R5 - Financing'!G9</f>
        <v>176.54560109404369</v>
      </c>
      <c r="I92" s="903">
        <f>'R5 - Financing'!H9</f>
        <v>171.56925424102499</v>
      </c>
    </row>
    <row r="93" spans="2:12">
      <c r="B93" s="1012" t="s">
        <v>313</v>
      </c>
      <c r="D93" s="76" t="s">
        <v>261</v>
      </c>
      <c r="E93" s="903">
        <f>'R5 - Financing'!D29</f>
        <v>334.24852264000003</v>
      </c>
      <c r="F93" s="903">
        <f>'R5 - Financing'!E29</f>
        <v>477.81333967929612</v>
      </c>
      <c r="G93" s="903">
        <f>'R5 - Financing'!F29</f>
        <v>345.95752497174806</v>
      </c>
      <c r="H93" s="903">
        <f>'R5 - Financing'!G29</f>
        <v>267.95974177296995</v>
      </c>
      <c r="I93" s="903">
        <f>'R5 - Financing'!H29</f>
        <v>265.9294660603361</v>
      </c>
    </row>
    <row r="94" spans="2:12">
      <c r="B94" s="1007" t="s">
        <v>301</v>
      </c>
      <c r="D94" s="76" t="s">
        <v>261</v>
      </c>
      <c r="E94" s="922">
        <f>E92-E93</f>
        <v>-90.867432059999999</v>
      </c>
      <c r="F94" s="922">
        <f t="shared" ref="F94" si="11">F92-F93</f>
        <v>-90.8585600465845</v>
      </c>
      <c r="G94" s="922">
        <f t="shared" ref="G94" si="12">G92-G93</f>
        <v>-90.858560046584529</v>
      </c>
      <c r="H94" s="922">
        <f t="shared" ref="H94" si="13">H92-H93</f>
        <v>-91.414140678926259</v>
      </c>
      <c r="I94" s="1013">
        <f t="shared" ref="I94" si="14">I92-I93</f>
        <v>-94.360211819311104</v>
      </c>
    </row>
    <row r="95" spans="2:12">
      <c r="B95" s="1010"/>
      <c r="D95" s="76"/>
      <c r="E95" s="904"/>
      <c r="F95" s="904"/>
      <c r="G95" s="904"/>
      <c r="H95" s="904"/>
      <c r="I95" s="923"/>
    </row>
    <row r="96" spans="2:12">
      <c r="B96" s="1011" t="s">
        <v>314</v>
      </c>
      <c r="D96" s="76" t="s">
        <v>261</v>
      </c>
      <c r="E96" s="430">
        <v>514</v>
      </c>
      <c r="F96" s="430"/>
      <c r="G96" s="430"/>
      <c r="H96" s="430"/>
      <c r="I96" s="430"/>
    </row>
    <row r="97" spans="2:9">
      <c r="B97" s="1011" t="s">
        <v>315</v>
      </c>
      <c r="D97" s="76" t="s">
        <v>261</v>
      </c>
      <c r="E97" s="430">
        <v>-407</v>
      </c>
      <c r="F97" s="430"/>
      <c r="G97" s="430"/>
      <c r="H97" s="430"/>
      <c r="I97" s="430"/>
    </row>
    <row r="98" spans="2:9">
      <c r="B98" s="1011" t="s">
        <v>316</v>
      </c>
      <c r="D98" s="76" t="s">
        <v>261</v>
      </c>
      <c r="E98" s="445">
        <f>SUM(E96:E97)</f>
        <v>107</v>
      </c>
      <c r="F98" s="445">
        <f t="shared" ref="F98:I98" si="15">SUM(F96:F97)</f>
        <v>0</v>
      </c>
      <c r="G98" s="445">
        <f t="shared" si="15"/>
        <v>0</v>
      </c>
      <c r="H98" s="445">
        <f t="shared" si="15"/>
        <v>0</v>
      </c>
      <c r="I98" s="445">
        <f t="shared" si="15"/>
        <v>0</v>
      </c>
    </row>
    <row r="99" spans="2:9" ht="14" thickBot="1">
      <c r="B99" s="1012" t="s">
        <v>317</v>
      </c>
      <c r="D99" s="76" t="s">
        <v>261</v>
      </c>
      <c r="E99" s="1246">
        <f>Adjusted_regulated_tax_liability</f>
        <v>115.84542349852565</v>
      </c>
      <c r="F99" s="1246">
        <f>Adjusted_regulated_tax_liability</f>
        <v>44.169972819949329</v>
      </c>
      <c r="G99" s="1246">
        <f>Adjusted_regulated_tax_liability</f>
        <v>225.28427545912839</v>
      </c>
      <c r="H99" s="1246">
        <f>Adjusted_regulated_tax_liability</f>
        <v>215.52936476308253</v>
      </c>
      <c r="I99" s="1246">
        <f>Adjusted_regulated_tax_liability</f>
        <v>204.74344058614591</v>
      </c>
    </row>
    <row r="100" spans="2:9" ht="14" thickBot="1">
      <c r="B100" s="1007" t="s">
        <v>301</v>
      </c>
      <c r="D100" s="76" t="s">
        <v>261</v>
      </c>
      <c r="E100" s="1247">
        <f>E98-E99</f>
        <v>-8.8454234985256477</v>
      </c>
      <c r="F100" s="1248">
        <f t="shared" ref="F100:I100" si="16">F98-F99</f>
        <v>-44.169972819949329</v>
      </c>
      <c r="G100" s="1248">
        <f t="shared" si="16"/>
        <v>-225.28427545912839</v>
      </c>
      <c r="H100" s="1248">
        <f t="shared" si="16"/>
        <v>-215.52936476308253</v>
      </c>
      <c r="I100" s="1249">
        <f t="shared" si="16"/>
        <v>-204.74344058614591</v>
      </c>
    </row>
    <row r="101" spans="2:9">
      <c r="B101" s="921"/>
      <c r="D101" s="76"/>
      <c r="E101" s="904"/>
      <c r="F101" s="904"/>
      <c r="G101" s="904"/>
      <c r="H101" s="904"/>
      <c r="I101" s="923"/>
    </row>
    <row r="102" spans="2:9">
      <c r="B102" s="924" t="s">
        <v>318</v>
      </c>
      <c r="D102" s="76" t="s">
        <v>261</v>
      </c>
      <c r="E102" s="445">
        <f>IFERROR(E89-E92-E96,0)</f>
        <v>289.14256531000001</v>
      </c>
      <c r="F102" s="445">
        <f t="shared" ref="F102:I102" si="17">IFERROR(F89-F92-F96,0)</f>
        <v>-386.95477963271162</v>
      </c>
      <c r="G102" s="445">
        <f t="shared" si="17"/>
        <v>-255.09896492516353</v>
      </c>
      <c r="H102" s="445">
        <f t="shared" si="17"/>
        <v>-176.54560109404369</v>
      </c>
      <c r="I102" s="445">
        <f t="shared" si="17"/>
        <v>-171.56925424102499</v>
      </c>
    </row>
    <row r="103" spans="2:9">
      <c r="B103" s="1009" t="s">
        <v>319</v>
      </c>
      <c r="D103" s="76" t="s">
        <v>261</v>
      </c>
      <c r="E103" s="445">
        <f>IFERROR(E90-E93-E99,0)</f>
        <v>330.68125390816988</v>
      </c>
      <c r="F103" s="445">
        <f t="shared" ref="F103:I103" si="18">IFERROR(F90-F93-F99,0)</f>
        <v>-521.98331249924547</v>
      </c>
      <c r="G103" s="445">
        <f t="shared" si="18"/>
        <v>-571.24180043087642</v>
      </c>
      <c r="H103" s="445">
        <f t="shared" si="18"/>
        <v>-483.48910653605247</v>
      </c>
      <c r="I103" s="445">
        <f t="shared" si="18"/>
        <v>-470.67290664648203</v>
      </c>
    </row>
    <row r="104" spans="2:9">
      <c r="B104" s="1007" t="s">
        <v>301</v>
      </c>
      <c r="D104" s="76" t="s">
        <v>261</v>
      </c>
      <c r="E104" s="922">
        <f>IFERROR(E102-E103,0)</f>
        <v>-41.53868859816987</v>
      </c>
      <c r="F104" s="922">
        <f t="shared" ref="F104:I104" si="19">IFERROR(F102-F103,0)</f>
        <v>135.02853286653385</v>
      </c>
      <c r="G104" s="922">
        <f t="shared" si="19"/>
        <v>316.14283550571292</v>
      </c>
      <c r="H104" s="922">
        <f t="shared" si="19"/>
        <v>306.94350544200881</v>
      </c>
      <c r="I104" s="922">
        <f t="shared" si="19"/>
        <v>299.10365240545707</v>
      </c>
    </row>
    <row r="105" spans="2:9">
      <c r="B105" s="921"/>
      <c r="C105"/>
      <c r="D105"/>
      <c r="I105" s="706"/>
    </row>
    <row r="106" spans="2:9">
      <c r="B106" s="925"/>
      <c r="C106" s="926"/>
      <c r="D106" s="927"/>
      <c r="E106" s="928"/>
      <c r="F106" s="927"/>
      <c r="G106" s="927"/>
      <c r="H106" s="927"/>
      <c r="I106" s="929"/>
    </row>
    <row r="107" spans="2:9">
      <c r="B107"/>
      <c r="D107"/>
    </row>
    <row r="108" spans="2:9">
      <c r="B108"/>
      <c r="C108"/>
      <c r="D108"/>
    </row>
    <row r="109" spans="2:9">
      <c r="B109" s="696"/>
      <c r="D109"/>
    </row>
    <row r="110" spans="2:9">
      <c r="B110" s="6" t="s">
        <v>320</v>
      </c>
      <c r="C110"/>
      <c r="D110"/>
    </row>
    <row r="111" spans="2:9">
      <c r="B111" s="1381"/>
      <c r="C111" s="1382"/>
      <c r="D111" s="1382"/>
      <c r="E111" s="1382"/>
      <c r="F111" s="1382"/>
      <c r="G111" s="1177"/>
      <c r="H111" s="1177"/>
      <c r="I111" s="1178"/>
    </row>
    <row r="112" spans="2:9">
      <c r="B112" s="707"/>
      <c r="C112" s="708"/>
      <c r="D112" s="709"/>
      <c r="E112" s="683"/>
      <c r="F112" s="683"/>
      <c r="G112" s="683"/>
      <c r="H112" s="683"/>
      <c r="I112" s="710"/>
    </row>
    <row r="113" spans="2:9">
      <c r="B113" s="707"/>
      <c r="C113" s="708"/>
      <c r="D113" s="709"/>
      <c r="E113" s="683"/>
      <c r="F113" s="683"/>
      <c r="G113" s="683"/>
      <c r="H113" s="683"/>
      <c r="I113" s="710"/>
    </row>
    <row r="114" spans="2:9">
      <c r="B114" s="707"/>
      <c r="C114" s="708"/>
      <c r="D114" s="709"/>
      <c r="E114" s="683"/>
      <c r="F114" s="683"/>
      <c r="G114" s="683"/>
      <c r="H114" s="683"/>
      <c r="I114" s="710"/>
    </row>
    <row r="115" spans="2:9">
      <c r="B115" s="707"/>
      <c r="C115" s="708"/>
      <c r="D115" s="709"/>
      <c r="E115" s="683"/>
      <c r="F115" s="683"/>
      <c r="G115" s="683"/>
      <c r="H115" s="683"/>
      <c r="I115" s="710"/>
    </row>
    <row r="116" spans="2:9">
      <c r="B116" s="711"/>
      <c r="C116" s="968"/>
      <c r="D116" s="969"/>
      <c r="E116" s="970"/>
      <c r="F116" s="970"/>
      <c r="G116" s="970"/>
      <c r="H116" s="970"/>
      <c r="I116" s="712"/>
    </row>
    <row r="118" spans="2:9" ht="13.5" customHeight="1"/>
    <row r="124" spans="2:9" ht="15" customHeight="1"/>
    <row r="138" ht="91.5" customHeight="1"/>
  </sheetData>
  <sheetProtection algorithmName="SHA-512" hashValue="FROf/18G1fO2mU3VnTxGAm4wbHmguXYYShK94dZY3faJkPZuPcyOqHPdzErjslcTh/03Ysc+7GxpQ7uB8xju5Q==" saltValue="5FKHFHVj8OIrL+ZRNKKB8g==" spinCount="100000" sheet="1" formatCells="0" formatColumns="0" formatRows="0" insertColumns="0" insertRows="0" insertHyperlinks="0" deleteColumns="0" deleteRows="0" sort="0" autoFilter="0" pivotTables="0"/>
  <mergeCells count="1">
    <mergeCell ref="B111:F111"/>
  </mergeCells>
  <conditionalFormatting sqref="E56:I56">
    <cfRule type="expression" dxfId="85" priority="53">
      <formula>E$5="Forecast"</formula>
    </cfRule>
  </conditionalFormatting>
  <conditionalFormatting sqref="C35">
    <cfRule type="expression" dxfId="84" priority="49">
      <formula>C$5="Forecast"</formula>
    </cfRule>
  </conditionalFormatting>
  <conditionalFormatting sqref="E83:I83 E64:I66 E84 E68:I68">
    <cfRule type="expression" dxfId="83" priority="45">
      <formula>D$12="N/A"</formula>
    </cfRule>
  </conditionalFormatting>
  <conditionalFormatting sqref="E62:H62">
    <cfRule type="expression" dxfId="82" priority="19">
      <formula>AND(E$5="Actuals",F$5="N/A")</formula>
    </cfRule>
  </conditionalFormatting>
  <conditionalFormatting sqref="I62">
    <cfRule type="expression" dxfId="81" priority="231">
      <formula>AND(I$5="Actuals",#REF!="N/A")</formula>
    </cfRule>
  </conditionalFormatting>
  <conditionalFormatting sqref="E7:I7">
    <cfRule type="expression" dxfId="80" priority="18">
      <formula>AND(E$5="Actuals",F$5="Forecast")</formula>
    </cfRule>
  </conditionalFormatting>
  <conditionalFormatting sqref="E6:H6">
    <cfRule type="expression" dxfId="79" priority="16">
      <formula>AND(E$5="Actuals",F$5="Forecast")</formula>
    </cfRule>
  </conditionalFormatting>
  <conditionalFormatting sqref="I6">
    <cfRule type="expression" dxfId="78" priority="17">
      <formula>AND(I$5="Actuals",#REF!="Forecast")</formula>
    </cfRule>
  </conditionalFormatting>
  <conditionalFormatting sqref="E27:I35">
    <cfRule type="expression" priority="15">
      <formula>$E6="Forecast"</formula>
    </cfRule>
  </conditionalFormatting>
  <conditionalFormatting sqref="E39:I51 E27:I35">
    <cfRule type="expression" priority="14">
      <formula>E$5="Forecast"</formula>
    </cfRule>
  </conditionalFormatting>
  <conditionalFormatting sqref="E20:I20 E54:I56 E62:I62 E80:I80 E64:I65 E102:I103 E87:I87 E89:I90 E92:I94 E71:I71 E75:I75 E24:I24 E83:I85 E27:I36 E13:I18 E39:I52 E96:I100 E68:I68">
    <cfRule type="expression" dxfId="77" priority="13">
      <formula>E$5="Forecast"</formula>
    </cfRule>
  </conditionalFormatting>
  <conditionalFormatting sqref="E104:I104">
    <cfRule type="expression" dxfId="76" priority="11">
      <formula>E$5="Forecast"</formula>
    </cfRule>
  </conditionalFormatting>
  <conditionalFormatting sqref="E74:I74">
    <cfRule type="expression" dxfId="75" priority="8">
      <formula>E$5="Forecast"</formula>
    </cfRule>
  </conditionalFormatting>
  <conditionalFormatting sqref="E74:I74">
    <cfRule type="expression" dxfId="74" priority="9">
      <formula>D$12="N/A"</formula>
    </cfRule>
  </conditionalFormatting>
  <conditionalFormatting sqref="E72:I72">
    <cfRule type="expression" dxfId="73" priority="5">
      <formula>E$5="Forecast"</formula>
    </cfRule>
  </conditionalFormatting>
  <conditionalFormatting sqref="E24:I24">
    <cfRule type="expression" priority="4">
      <formula>$E3="Forecast"</formula>
    </cfRule>
  </conditionalFormatting>
  <conditionalFormatting sqref="E24:I24">
    <cfRule type="expression" priority="3">
      <formula>E$5="Forecast"</formula>
    </cfRule>
  </conditionalFormatting>
  <conditionalFormatting sqref="E24">
    <cfRule type="expression" priority="2">
      <formula>$E3="Forecast"</formula>
    </cfRule>
  </conditionalFormatting>
  <conditionalFormatting sqref="E24">
    <cfRule type="expression" priority="1">
      <formula>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EpmWorksheetKeyString_GU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6"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9"/>
  <sheetViews>
    <sheetView showGridLines="0" zoomScale="60" zoomScaleNormal="60" workbookViewId="0">
      <pane ySplit="7" topLeftCell="A34" activePane="bottomLeft" state="frozen"/>
      <selection activeCell="B1" sqref="B1"/>
      <selection pane="bottomLeft" activeCell="M52" sqref="M52"/>
    </sheetView>
  </sheetViews>
  <sheetFormatPr defaultColWidth="9.15234375" defaultRowHeight="13.5"/>
  <cols>
    <col min="1" max="1" width="8.3828125" style="2" customWidth="1"/>
    <col min="2" max="2" width="64.4609375" style="67" customWidth="1"/>
    <col min="3" max="3" width="13.3828125" style="70" customWidth="1"/>
    <col min="4" max="8" width="11.15234375" style="2" customWidth="1"/>
    <col min="9" max="10" width="12.84375" style="2" customWidth="1"/>
    <col min="11" max="16384" width="9.15234375" style="2"/>
  </cols>
  <sheetData>
    <row r="1" spans="1:16" customFormat="1" ht="20">
      <c r="A1" s="1170" t="s">
        <v>321</v>
      </c>
      <c r="B1" s="750"/>
      <c r="C1" s="757"/>
      <c r="D1" s="752"/>
      <c r="E1" s="752"/>
      <c r="F1" s="752"/>
      <c r="G1" s="752"/>
      <c r="H1" s="752"/>
      <c r="I1" s="753"/>
      <c r="J1" s="753"/>
      <c r="K1" s="1179"/>
    </row>
    <row r="2" spans="1:16" customFormat="1" ht="20">
      <c r="A2" s="644" t="str">
        <f>Licensee</f>
        <v>NGET (TO)</v>
      </c>
      <c r="B2" s="647"/>
      <c r="C2" s="69"/>
      <c r="D2" s="16"/>
      <c r="E2" s="16"/>
      <c r="F2" s="16"/>
      <c r="G2" s="16"/>
      <c r="H2" s="16"/>
      <c r="I2" s="15"/>
      <c r="J2" s="15"/>
      <c r="K2" s="66"/>
    </row>
    <row r="3" spans="1:16" customFormat="1" ht="20">
      <c r="A3" s="639">
        <f>Reporting_Year</f>
        <v>2022</v>
      </c>
      <c r="B3" s="965"/>
      <c r="C3" s="966"/>
      <c r="D3" s="963"/>
      <c r="E3" s="963"/>
      <c r="F3" s="963"/>
      <c r="G3" s="963"/>
      <c r="H3" s="963"/>
      <c r="I3" s="964"/>
      <c r="J3" s="964"/>
      <c r="K3" s="120"/>
    </row>
    <row r="4" spans="1:16" ht="12.75" customHeight="1"/>
    <row r="5" spans="1:16" ht="30" customHeight="1">
      <c r="D5" s="249" t="str">
        <f>IF(D6&lt;=Reporting_Year,"Actuals","Forecast")</f>
        <v>Actuals</v>
      </c>
      <c r="E5" s="249" t="str">
        <f t="shared" ref="E5:I5" si="0">IF(E6&lt;=Reporting_Year,"Actuals","Forecast")</f>
        <v>Forecast</v>
      </c>
      <c r="F5" s="249" t="str">
        <f t="shared" si="0"/>
        <v>Forecast</v>
      </c>
      <c r="G5" s="249" t="str">
        <f t="shared" si="0"/>
        <v>Forecast</v>
      </c>
      <c r="H5" s="249" t="str">
        <f t="shared" si="0"/>
        <v>Forecast</v>
      </c>
      <c r="I5" s="249" t="str">
        <f t="shared" si="0"/>
        <v>Forecast</v>
      </c>
    </row>
    <row r="6" spans="1:16" ht="27.75" customHeight="1">
      <c r="D6" s="63">
        <f>'RFPR cover'!$C$6</f>
        <v>2022</v>
      </c>
      <c r="E6" s="64">
        <f>D6+1</f>
        <v>2023</v>
      </c>
      <c r="F6" s="64">
        <f t="shared" ref="F6:H6" si="1">E6+1</f>
        <v>2024</v>
      </c>
      <c r="G6" s="64">
        <f t="shared" si="1"/>
        <v>2025</v>
      </c>
      <c r="H6" s="64">
        <f t="shared" si="1"/>
        <v>2026</v>
      </c>
      <c r="I6" s="50" t="str">
        <f>"Cumulative to "&amp;'RFPR cover'!$C$9</f>
        <v>Cumulative to 2022</v>
      </c>
      <c r="J6" s="65" t="s">
        <v>222</v>
      </c>
    </row>
    <row r="7" spans="1:16">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row>
    <row r="8" spans="1:16">
      <c r="B8" s="900" t="s">
        <v>322</v>
      </c>
      <c r="C8" s="129"/>
      <c r="D8" s="129"/>
      <c r="E8" s="129"/>
      <c r="F8" s="129"/>
      <c r="G8" s="129"/>
      <c r="H8" s="130"/>
      <c r="I8" s="130"/>
      <c r="J8" s="130"/>
      <c r="K8" s="67"/>
    </row>
    <row r="9" spans="1:16">
      <c r="B9" s="1168" t="s">
        <v>323</v>
      </c>
      <c r="C9" s="1169"/>
      <c r="D9" s="1169"/>
      <c r="E9" s="1169"/>
      <c r="F9" s="1169"/>
      <c r="G9" s="1169"/>
      <c r="H9" s="1169"/>
      <c r="I9" s="1169"/>
      <c r="J9" s="1169"/>
      <c r="K9" s="67"/>
      <c r="L9" s="67"/>
    </row>
    <row r="11" spans="1:16">
      <c r="B11" s="714" t="s">
        <v>324</v>
      </c>
      <c r="C11" s="713"/>
      <c r="D11" s="42"/>
      <c r="E11" s="42"/>
      <c r="F11" s="42"/>
      <c r="G11" s="42"/>
      <c r="H11" s="42"/>
      <c r="I11" s="42"/>
      <c r="J11" s="42"/>
      <c r="K11" s="67"/>
    </row>
    <row r="12" spans="1:16">
      <c r="B12" s="362"/>
      <c r="D12" s="1"/>
      <c r="E12" s="1"/>
      <c r="F12" s="1"/>
      <c r="G12" s="1"/>
      <c r="H12" s="1"/>
      <c r="I12" s="1"/>
      <c r="J12" s="1"/>
      <c r="K12" s="67"/>
    </row>
    <row r="13" spans="1:16">
      <c r="B13" s="89" t="s">
        <v>325</v>
      </c>
      <c r="C13" s="39" t="str">
        <f>Data!$C$9</f>
        <v>£m 18/19</v>
      </c>
      <c r="D13" s="810">
        <v>1280.1899864242457</v>
      </c>
      <c r="E13" s="810">
        <v>1565.001476003398</v>
      </c>
      <c r="F13" s="810">
        <v>1432.4111591083574</v>
      </c>
      <c r="G13" s="810">
        <v>1194.0190775121346</v>
      </c>
      <c r="H13" s="810">
        <v>1129.542083071141</v>
      </c>
      <c r="I13" s="56">
        <f>SUM(D13:INDEX(D13:H13,0,MATCH('RFPR cover'!$C$9,$D$6:$H$6,0)))</f>
        <v>1280.1899864242457</v>
      </c>
      <c r="J13" s="57">
        <f>SUM(D13:H13)</f>
        <v>6601.1637821192771</v>
      </c>
      <c r="K13" s="67"/>
    </row>
    <row r="14" spans="1:16" ht="17.149999999999999" customHeight="1">
      <c r="B14" s="68" t="s">
        <v>326</v>
      </c>
      <c r="C14" s="39" t="str">
        <f>Data!$C$9</f>
        <v>£m 18/19</v>
      </c>
      <c r="D14" s="810">
        <v>1344.6986731981335</v>
      </c>
      <c r="E14" s="810">
        <v>1388.1338756511248</v>
      </c>
      <c r="F14" s="810">
        <v>1228.943035374183</v>
      </c>
      <c r="G14" s="810">
        <v>1085.7794909850056</v>
      </c>
      <c r="H14" s="810">
        <v>972.24996364020046</v>
      </c>
      <c r="I14" s="54">
        <f>SUM(D14:INDEX(D14:H14,0,MATCH('RFPR cover'!$C$9,$D$6:$H$6,0)))</f>
        <v>1344.6986731981335</v>
      </c>
      <c r="J14" s="55">
        <f>SUM(D14:H14)</f>
        <v>6019.8050388486472</v>
      </c>
      <c r="K14" s="37"/>
    </row>
    <row r="15" spans="1:16">
      <c r="B15" s="467" t="s">
        <v>327</v>
      </c>
      <c r="C15" s="39" t="str">
        <f>Data!$C$9</f>
        <v>£m 18/19</v>
      </c>
      <c r="D15" s="1036">
        <f>D14-D13</f>
        <v>64.508686773887803</v>
      </c>
      <c r="E15" s="1036">
        <f t="shared" ref="E15:J15" si="2">E14-E13</f>
        <v>-176.86760035227326</v>
      </c>
      <c r="F15" s="1036">
        <f t="shared" si="2"/>
        <v>-203.46812373417447</v>
      </c>
      <c r="G15" s="1036">
        <f t="shared" si="2"/>
        <v>-108.23958652712895</v>
      </c>
      <c r="H15" s="1036">
        <f t="shared" si="2"/>
        <v>-157.29211943094049</v>
      </c>
      <c r="I15" s="51">
        <f t="shared" si="2"/>
        <v>64.508686773887803</v>
      </c>
      <c r="J15" s="53">
        <f t="shared" si="2"/>
        <v>-581.35874327062993</v>
      </c>
      <c r="K15" s="1336"/>
      <c r="L15" s="1336"/>
      <c r="M15" s="1336"/>
      <c r="N15"/>
      <c r="O15"/>
      <c r="P15"/>
    </row>
    <row r="16" spans="1:16">
      <c r="B16" s="467"/>
      <c r="C16" s="39"/>
      <c r="D16" s="33"/>
      <c r="E16" s="33"/>
      <c r="F16" s="33"/>
      <c r="G16" s="33"/>
      <c r="H16" s="33"/>
      <c r="I16" s="33"/>
      <c r="J16" s="33"/>
      <c r="K16" s="38"/>
      <c r="L16" s="38"/>
      <c r="M16" s="38"/>
      <c r="N16"/>
      <c r="O16"/>
      <c r="P16"/>
    </row>
    <row r="17" spans="2:16">
      <c r="B17" s="67" t="s">
        <v>328</v>
      </c>
      <c r="C17" s="70" t="s">
        <v>225</v>
      </c>
      <c r="D17" s="59">
        <f>INDEX(Data!$C$55:$C$83,MATCH('RFPR cover'!$C$7,Data!$B$55:$B$83,0),0)</f>
        <v>0.67</v>
      </c>
      <c r="E17" s="59">
        <f>INDEX(Data!$C$55:$C$83,MATCH('RFPR cover'!$C$7,Data!$B$55:$B$83,0),0)</f>
        <v>0.67</v>
      </c>
      <c r="F17" s="59">
        <f>INDEX(Data!$C$55:$C$83,MATCH('RFPR cover'!$C$7,Data!$B$55:$B$83,0),0)</f>
        <v>0.67</v>
      </c>
      <c r="G17" s="59">
        <f>INDEX(Data!$C$55:$C$83,MATCH('RFPR cover'!$C$7,Data!$B$55:$B$83,0),0)</f>
        <v>0.67</v>
      </c>
      <c r="H17" s="59">
        <f>INDEX(Data!$C$55:$C$83,MATCH('RFPR cover'!$C$7,Data!$B$55:$B$83,0),0)</f>
        <v>0.67</v>
      </c>
      <c r="I17" s="36"/>
      <c r="J17" s="36"/>
      <c r="K17"/>
      <c r="L17"/>
      <c r="M17"/>
      <c r="N17"/>
      <c r="O17"/>
      <c r="P17"/>
    </row>
    <row r="18" spans="2:16">
      <c r="K18"/>
      <c r="L18"/>
      <c r="M18"/>
      <c r="N18"/>
      <c r="O18"/>
      <c r="P18"/>
    </row>
    <row r="19" spans="2:16">
      <c r="B19" s="67" t="s">
        <v>329</v>
      </c>
      <c r="C19" s="39" t="str">
        <f>Data!$C$9</f>
        <v>£m 18/19</v>
      </c>
      <c r="D19" s="1036">
        <f>D15*D17</f>
        <v>43.220820138504827</v>
      </c>
      <c r="E19" s="1036">
        <f t="shared" ref="E19:H19" si="3">E15*E17</f>
        <v>-118.50129223602309</v>
      </c>
      <c r="F19" s="1036">
        <f t="shared" si="3"/>
        <v>-136.3236429018969</v>
      </c>
      <c r="G19" s="1036">
        <f t="shared" si="3"/>
        <v>-72.520522973176398</v>
      </c>
      <c r="H19" s="1036">
        <f t="shared" si="3"/>
        <v>-105.38572001873014</v>
      </c>
      <c r="I19" s="47">
        <f>SUM(D19:INDEX(D19:H19,0,MATCH('RFPR cover'!$C$9,$D$6:$H$6,0)))</f>
        <v>43.220820138504827</v>
      </c>
      <c r="J19" s="49">
        <f>SUM(D19:H19)</f>
        <v>-389.51035799132171</v>
      </c>
      <c r="K19"/>
      <c r="L19"/>
      <c r="M19"/>
      <c r="N19"/>
      <c r="O19"/>
      <c r="P19"/>
    </row>
    <row r="20" spans="2:16">
      <c r="B20" s="67" t="s">
        <v>330</v>
      </c>
      <c r="C20" s="39" t="str">
        <f>Data!$C$9</f>
        <v>£m 18/19</v>
      </c>
      <c r="D20" s="1036">
        <f>D15*(1-D17)</f>
        <v>21.287866635382972</v>
      </c>
      <c r="E20" s="1036">
        <f t="shared" ref="E20:H20" si="4">E15*(1-E17)</f>
        <v>-58.366308116250167</v>
      </c>
      <c r="F20" s="1036">
        <f t="shared" si="4"/>
        <v>-67.144480832277566</v>
      </c>
      <c r="G20" s="1036">
        <f t="shared" si="4"/>
        <v>-35.719063553952552</v>
      </c>
      <c r="H20" s="1036">
        <f t="shared" si="4"/>
        <v>-51.906399412210355</v>
      </c>
      <c r="I20" s="44">
        <f>SUM(D20:INDEX(D20:H20,0,MATCH('RFPR cover'!$C$9,$D$6:$H$6,0)))</f>
        <v>21.287866635382972</v>
      </c>
      <c r="J20" s="46">
        <f>SUM(D20:H20)</f>
        <v>-191.84838527930768</v>
      </c>
      <c r="L20"/>
      <c r="M20"/>
      <c r="N20"/>
      <c r="O20"/>
      <c r="P20"/>
    </row>
    <row r="21" spans="2:16">
      <c r="C21" s="67"/>
      <c r="D21" s="67"/>
      <c r="E21" s="67"/>
      <c r="F21" s="67"/>
      <c r="G21" s="67"/>
      <c r="H21" s="67"/>
      <c r="I21" s="67"/>
      <c r="J21" s="67"/>
      <c r="L21"/>
      <c r="M21"/>
      <c r="N21"/>
      <c r="O21"/>
      <c r="P21"/>
    </row>
    <row r="22" spans="2:16">
      <c r="B22" s="362" t="s">
        <v>331</v>
      </c>
      <c r="L22"/>
      <c r="M22"/>
    </row>
    <row r="23" spans="2:16">
      <c r="B23" s="721" t="s">
        <v>332</v>
      </c>
      <c r="C23" s="39" t="s">
        <v>23</v>
      </c>
      <c r="D23" s="431">
        <v>169.03458450191204</v>
      </c>
      <c r="E23" s="431">
        <v>162.60626198054254</v>
      </c>
      <c r="F23" s="431">
        <v>8.6039997472621615E-2</v>
      </c>
      <c r="G23" s="431">
        <v>0.22009483558440701</v>
      </c>
      <c r="H23" s="431">
        <v>-8.8775027397910017E-3</v>
      </c>
      <c r="I23" s="44">
        <f>SUM(D23:INDEX(D23:H23,0,MATCH('RFPR cover'!$C$9,$D$6:$H$6,0)))</f>
        <v>169.03458450191204</v>
      </c>
      <c r="J23" s="46">
        <f>SUM(D23:H23)</f>
        <v>331.93810381277177</v>
      </c>
      <c r="L23"/>
      <c r="M23"/>
      <c r="N23"/>
      <c r="O23"/>
      <c r="P23"/>
    </row>
    <row r="24" spans="2:16" ht="14" thickBot="1">
      <c r="B24" s="721" t="s">
        <v>333</v>
      </c>
      <c r="C24" s="39" t="s">
        <v>23</v>
      </c>
      <c r="D24" s="1257">
        <v>120.25446840259367</v>
      </c>
      <c r="E24" s="1257">
        <v>74.42048142499111</v>
      </c>
      <c r="F24" s="1257">
        <v>54.576863657157375</v>
      </c>
      <c r="G24" s="1257">
        <v>68.607115354853377</v>
      </c>
      <c r="H24" s="1257">
        <v>85.868854083609847</v>
      </c>
      <c r="I24" s="403">
        <f>SUM(D24:INDEX(D24:H24,0,MATCH('RFPR cover'!$C$9,$D$6:$H$6,0)))</f>
        <v>120.25446840259367</v>
      </c>
      <c r="J24" s="1258">
        <f t="shared" ref="J24:J29" si="5">SUM(D24:H24)</f>
        <v>403.72778292320538</v>
      </c>
      <c r="L24"/>
      <c r="M24"/>
      <c r="N24"/>
      <c r="O24"/>
      <c r="P24"/>
    </row>
    <row r="25" spans="2:16">
      <c r="B25" s="1241" t="s">
        <v>334</v>
      </c>
      <c r="C25" s="1259" t="s">
        <v>23</v>
      </c>
      <c r="D25" s="1260">
        <v>25.180000972745127</v>
      </c>
      <c r="E25" s="1260">
        <v>6.0051917087665263</v>
      </c>
      <c r="F25" s="1260">
        <v>4.0392665967271597</v>
      </c>
      <c r="G25" s="1260">
        <v>5.2243003437611701</v>
      </c>
      <c r="H25" s="1260">
        <v>5.5664204343947405</v>
      </c>
      <c r="I25" s="1261">
        <f>SUM(D25:INDEX(D25:H25,0,MATCH('RFPR cover'!$C$9,$D$6:$H$6,0)))</f>
        <v>25.180000972745127</v>
      </c>
      <c r="J25" s="1262">
        <f t="shared" si="5"/>
        <v>46.015180056394726</v>
      </c>
      <c r="L25"/>
      <c r="M25"/>
      <c r="N25"/>
      <c r="O25"/>
      <c r="P25"/>
    </row>
    <row r="26" spans="2:16">
      <c r="B26" s="1242" t="s">
        <v>335</v>
      </c>
      <c r="C26" s="39" t="s">
        <v>23</v>
      </c>
      <c r="D26" s="431">
        <v>-11.6538843525756</v>
      </c>
      <c r="E26" s="431">
        <v>-9.6044287199462204</v>
      </c>
      <c r="F26" s="431">
        <v>-40.649471574331898</v>
      </c>
      <c r="G26" s="431">
        <v>61.90778464685355</v>
      </c>
      <c r="H26" s="431">
        <v>0</v>
      </c>
      <c r="I26" s="44">
        <f>SUM(D26:INDEX(D26:H26,0,MATCH('RFPR cover'!$C$9,$D$6:$H$6,0)))</f>
        <v>-11.6538843525756</v>
      </c>
      <c r="J26" s="1263">
        <f t="shared" si="5"/>
        <v>-1.7053025658242404E-13</v>
      </c>
      <c r="L26"/>
      <c r="M26"/>
      <c r="N26"/>
      <c r="O26"/>
      <c r="P26"/>
    </row>
    <row r="27" spans="2:16">
      <c r="B27" s="1242" t="s">
        <v>336</v>
      </c>
      <c r="C27" s="39" t="s">
        <v>23</v>
      </c>
      <c r="D27" s="431">
        <v>-14.499705943286544</v>
      </c>
      <c r="E27" s="431">
        <v>-4.7766742074266855</v>
      </c>
      <c r="F27" s="431">
        <v>19.27638015071323</v>
      </c>
      <c r="G27" s="431">
        <v>0</v>
      </c>
      <c r="H27" s="431">
        <v>0</v>
      </c>
      <c r="I27" s="44">
        <f>SUM(D27:INDEX(D27:H27,0,MATCH('RFPR cover'!$C$9,$D$6:$H$6,0)))</f>
        <v>-14.499705943286544</v>
      </c>
      <c r="J27" s="1263">
        <f t="shared" si="5"/>
        <v>0</v>
      </c>
      <c r="L27"/>
      <c r="M27"/>
      <c r="N27"/>
      <c r="O27"/>
      <c r="P27"/>
    </row>
    <row r="28" spans="2:16">
      <c r="B28" s="1242" t="s">
        <v>337</v>
      </c>
      <c r="C28" s="39" t="s">
        <v>23</v>
      </c>
      <c r="D28" s="431">
        <v>-32.510375412954801</v>
      </c>
      <c r="E28" s="431">
        <v>-10.7099738654163</v>
      </c>
      <c r="F28" s="431">
        <v>43.220349278371103</v>
      </c>
      <c r="G28" s="431">
        <v>0</v>
      </c>
      <c r="H28" s="431">
        <v>0</v>
      </c>
      <c r="I28" s="44">
        <f>SUM(D28:INDEX(D28:H28,0,MATCH('RFPR cover'!$C$9,$D$6:$H$6,0)))</f>
        <v>-32.510375412954801</v>
      </c>
      <c r="J28" s="1263">
        <f t="shared" si="5"/>
        <v>0</v>
      </c>
      <c r="L28"/>
      <c r="M28"/>
      <c r="N28"/>
      <c r="O28"/>
      <c r="P28"/>
    </row>
    <row r="29" spans="2:16" ht="14" thickBot="1">
      <c r="B29" s="1243" t="s">
        <v>338</v>
      </c>
      <c r="C29" s="1264" t="s">
        <v>23</v>
      </c>
      <c r="D29" s="1265">
        <v>-272.38577596447738</v>
      </c>
      <c r="E29" s="1265">
        <v>166.9705339163595</v>
      </c>
      <c r="F29" s="1265">
        <v>94.830272591241751</v>
      </c>
      <c r="G29" s="1265">
        <v>-17.849407220512958</v>
      </c>
      <c r="H29" s="1265">
        <v>28.434376677389579</v>
      </c>
      <c r="I29" s="1266">
        <f>SUM(D29:INDEX(D29:H29,0,MATCH('RFPR cover'!$C$9,$D$6:$H$6,0)))</f>
        <v>-272.38577596447738</v>
      </c>
      <c r="J29" s="1251">
        <f t="shared" si="5"/>
        <v>4.9737991503207013E-13</v>
      </c>
      <c r="L29"/>
      <c r="M29"/>
      <c r="N29"/>
      <c r="O29"/>
      <c r="P29"/>
    </row>
    <row r="30" spans="2:16">
      <c r="B30" s="362" t="s">
        <v>339</v>
      </c>
      <c r="C30" s="39" t="str">
        <f>Data!$C$9</f>
        <v>£m 18/19</v>
      </c>
      <c r="D30" s="1240">
        <f>SUM(D23:D29)</f>
        <v>-16.580687796043463</v>
      </c>
      <c r="E30" s="1240">
        <f>SUM(E23:E29)</f>
        <v>384.91139223787047</v>
      </c>
      <c r="F30" s="1240">
        <f>SUM(F23:F29)</f>
        <v>175.37970069735132</v>
      </c>
      <c r="G30" s="1240">
        <f>SUM(G23:G29)</f>
        <v>118.10988796053955</v>
      </c>
      <c r="H30" s="1240">
        <f>SUM(H23:H29)</f>
        <v>119.86077369265438</v>
      </c>
      <c r="I30" s="425">
        <f>SUM(D30:INDEX(D30:H30,0,MATCH('RFPR cover'!$C$9,$D$6:$H$6,0)))</f>
        <v>-16.580687796043463</v>
      </c>
      <c r="J30" s="1250">
        <f t="shared" ref="J30" si="6">SUM(D30:H30)</f>
        <v>781.68106679237235</v>
      </c>
      <c r="L30"/>
      <c r="M30"/>
      <c r="N30"/>
      <c r="O30"/>
      <c r="P30"/>
    </row>
    <row r="31" spans="2:16">
      <c r="B31" s="362"/>
      <c r="L31"/>
      <c r="M31"/>
      <c r="N31"/>
      <c r="O31"/>
      <c r="P31"/>
    </row>
    <row r="32" spans="2:16">
      <c r="B32" s="362" t="s">
        <v>340</v>
      </c>
      <c r="L32"/>
      <c r="M32"/>
      <c r="N32"/>
      <c r="O32"/>
      <c r="P32"/>
    </row>
    <row r="33" spans="2:16">
      <c r="B33" s="721" t="s">
        <v>341</v>
      </c>
      <c r="C33" s="39" t="str">
        <f>Data!$C$9</f>
        <v>£m 18/19</v>
      </c>
      <c r="D33" s="431"/>
      <c r="E33" s="431"/>
      <c r="F33" s="431"/>
      <c r="G33" s="431"/>
      <c r="H33" s="431"/>
      <c r="I33" s="44">
        <f>SUM(D33:INDEX(D33:H33,0,MATCH('RFPR cover'!$C$9,$D$6:$H$6,0)))</f>
        <v>0</v>
      </c>
      <c r="J33" s="46">
        <f>SUM(D33:H33)</f>
        <v>0</v>
      </c>
      <c r="L33"/>
      <c r="M33"/>
      <c r="N33"/>
      <c r="O33"/>
      <c r="P33"/>
    </row>
    <row r="34" spans="2:16">
      <c r="B34" s="721" t="s">
        <v>342</v>
      </c>
      <c r="C34" s="39" t="str">
        <f>Data!$C$9</f>
        <v>£m 18/19</v>
      </c>
      <c r="D34" s="431"/>
      <c r="E34" s="431"/>
      <c r="F34" s="431"/>
      <c r="G34" s="431"/>
      <c r="H34" s="431"/>
      <c r="I34" s="44">
        <f>SUM(D34:INDEX(D34:H34,0,MATCH('RFPR cover'!$C$9,$D$6:$H$6,0)))</f>
        <v>0</v>
      </c>
      <c r="J34" s="46">
        <f t="shared" ref="J34:J35" si="7">SUM(D34:H34)</f>
        <v>0</v>
      </c>
      <c r="L34"/>
      <c r="M34"/>
      <c r="N34"/>
      <c r="O34"/>
      <c r="P34"/>
    </row>
    <row r="35" spans="2:16">
      <c r="B35" s="362" t="s">
        <v>339</v>
      </c>
      <c r="C35" s="39" t="str">
        <f>Data!$C$9</f>
        <v>£m 18/19</v>
      </c>
      <c r="D35" s="1036">
        <f>SUM(D33:D34)</f>
        <v>0</v>
      </c>
      <c r="E35" s="1036">
        <f t="shared" ref="E35:H35" si="8">SUM(E33:E34)</f>
        <v>0</v>
      </c>
      <c r="F35" s="1036">
        <f t="shared" si="8"/>
        <v>0</v>
      </c>
      <c r="G35" s="1036">
        <f t="shared" si="8"/>
        <v>0</v>
      </c>
      <c r="H35" s="1036">
        <f t="shared" si="8"/>
        <v>0</v>
      </c>
      <c r="I35" s="44">
        <f>SUM(D35:INDEX(D35:H35,0,MATCH('RFPR cover'!$C$9,$D$6:$H$6,0)))</f>
        <v>0</v>
      </c>
      <c r="J35" s="46">
        <f t="shared" si="7"/>
        <v>0</v>
      </c>
      <c r="L35"/>
      <c r="M35"/>
      <c r="N35"/>
      <c r="O35"/>
      <c r="P35"/>
    </row>
    <row r="36" spans="2:16">
      <c r="B36" s="362"/>
      <c r="L36"/>
      <c r="M36"/>
      <c r="N36"/>
      <c r="O36"/>
      <c r="P36"/>
    </row>
    <row r="37" spans="2:16">
      <c r="B37" s="67" t="s">
        <v>343</v>
      </c>
      <c r="C37" s="39"/>
      <c r="D37" s="1036">
        <f>D30*D17</f>
        <v>-11.109060823349122</v>
      </c>
      <c r="E37" s="1036">
        <f>E30*E17</f>
        <v>257.89063279937324</v>
      </c>
      <c r="F37" s="1036">
        <f>F30*F17</f>
        <v>117.5043994672254</v>
      </c>
      <c r="G37" s="1036">
        <f>G30*G17</f>
        <v>79.133624933561507</v>
      </c>
      <c r="H37" s="1036">
        <f>H30*H17</f>
        <v>80.306718374078443</v>
      </c>
      <c r="I37" s="47">
        <f>SUM(D37:INDEX(D37:H37,0,MATCH('RFPR cover'!$C$9,$D$6:$H$6,0)))</f>
        <v>-11.109060823349122</v>
      </c>
      <c r="J37" s="49">
        <f>SUM(D37:H37)</f>
        <v>523.72631475088951</v>
      </c>
      <c r="L37"/>
      <c r="M37"/>
      <c r="N37"/>
      <c r="O37"/>
      <c r="P37"/>
    </row>
    <row r="38" spans="2:16">
      <c r="B38" s="67" t="s">
        <v>344</v>
      </c>
      <c r="C38" s="39"/>
      <c r="D38" s="1036">
        <f>D30*(1-D17)+D35</f>
        <v>-5.4716269726943425</v>
      </c>
      <c r="E38" s="1036">
        <f>E30*(1-E17)+E35</f>
        <v>127.02075943849724</v>
      </c>
      <c r="F38" s="1036">
        <f>F30*(1-F17)+F35</f>
        <v>57.875301230125928</v>
      </c>
      <c r="G38" s="1036">
        <f>G30*(1-G17)+G35</f>
        <v>38.976263026978046</v>
      </c>
      <c r="H38" s="1036">
        <f>H30*(1-H17)+H35</f>
        <v>39.554055318575941</v>
      </c>
      <c r="I38" s="47">
        <f>SUM(D38:INDEX(D38:H38,0,MATCH('RFPR cover'!$C$9,$D$6:$H$6,0)))</f>
        <v>-5.4716269726943425</v>
      </c>
      <c r="J38" s="46">
        <f>SUM(D38:H38)</f>
        <v>257.95475204148283</v>
      </c>
      <c r="L38"/>
      <c r="M38"/>
      <c r="N38"/>
      <c r="O38"/>
      <c r="P38"/>
    </row>
    <row r="39" spans="2:16">
      <c r="B39" s="362"/>
      <c r="E39" s="1226"/>
      <c r="L39"/>
      <c r="M39"/>
      <c r="N39"/>
      <c r="O39"/>
      <c r="P39"/>
    </row>
    <row r="40" spans="2:16" ht="14" thickBot="1">
      <c r="B40" s="362" t="s">
        <v>345</v>
      </c>
      <c r="D40" s="1226"/>
      <c r="E40" s="1227"/>
      <c r="F40" s="1227"/>
      <c r="G40" s="1227"/>
      <c r="H40" s="1227"/>
      <c r="L40"/>
      <c r="M40"/>
      <c r="N40"/>
      <c r="O40"/>
      <c r="P40"/>
    </row>
    <row r="41" spans="2:16">
      <c r="B41" s="67" t="s">
        <v>329</v>
      </c>
      <c r="C41" s="39" t="str">
        <f>Data!$C$9</f>
        <v>£m 18/19</v>
      </c>
      <c r="D41" s="1320">
        <f t="shared" ref="D41:H42" si="9">D19+D37</f>
        <v>32.111759315155709</v>
      </c>
      <c r="E41" s="1321">
        <f t="shared" si="9"/>
        <v>139.38934056335015</v>
      </c>
      <c r="F41" s="1321">
        <f t="shared" si="9"/>
        <v>-18.819243434671506</v>
      </c>
      <c r="G41" s="1321">
        <f t="shared" si="9"/>
        <v>6.6131019603851087</v>
      </c>
      <c r="H41" s="1322">
        <f t="shared" si="9"/>
        <v>-25.079001644651697</v>
      </c>
      <c r="I41" s="1318">
        <f>SUM(D41:INDEX(D41:H41,0,MATCH('RFPR cover'!$C$9,$D$6:$H$6,0)))</f>
        <v>32.111759315155709</v>
      </c>
      <c r="J41" s="971">
        <f>SUM(D41:H41)</f>
        <v>134.21595675956775</v>
      </c>
      <c r="L41"/>
      <c r="M41"/>
      <c r="N41"/>
      <c r="O41"/>
      <c r="P41"/>
    </row>
    <row r="42" spans="2:16" ht="14" thickBot="1">
      <c r="B42" s="67" t="s">
        <v>330</v>
      </c>
      <c r="C42" s="39" t="str">
        <f>Data!$C$9</f>
        <v>£m 18/19</v>
      </c>
      <c r="D42" s="1323">
        <f t="shared" si="9"/>
        <v>15.816239662688631</v>
      </c>
      <c r="E42" s="1324">
        <f t="shared" si="9"/>
        <v>68.65445132224707</v>
      </c>
      <c r="F42" s="1324">
        <f t="shared" si="9"/>
        <v>-9.2691796021516382</v>
      </c>
      <c r="G42" s="1324">
        <f t="shared" si="9"/>
        <v>3.2571994730254943</v>
      </c>
      <c r="H42" s="1325">
        <f t="shared" si="9"/>
        <v>-12.352344093634414</v>
      </c>
      <c r="I42" s="1318">
        <f>SUM(D42:INDEX(D42:H42,0,MATCH('RFPR cover'!$C$9,$D$6:$H$6,0)))</f>
        <v>15.816239662688631</v>
      </c>
      <c r="J42" s="971">
        <f t="shared" ref="J42" si="10">SUM(D42:H42)</f>
        <v>66.106366762175142</v>
      </c>
      <c r="L42"/>
      <c r="M42"/>
      <c r="N42"/>
      <c r="O42"/>
      <c r="P42"/>
    </row>
    <row r="43" spans="2:16">
      <c r="B43" s="362" t="s">
        <v>346</v>
      </c>
      <c r="C43" s="78" t="str">
        <f>Data!$C$9</f>
        <v>£m 18/19</v>
      </c>
      <c r="D43" s="1319">
        <f>SUM(D41:D42)</f>
        <v>47.927998977844339</v>
      </c>
      <c r="E43" s="1319">
        <f t="shared" ref="E43:H43" si="11">SUM(E41:E42)</f>
        <v>208.04379188559722</v>
      </c>
      <c r="F43" s="1319">
        <f t="shared" si="11"/>
        <v>-28.088423036823144</v>
      </c>
      <c r="G43" s="1319">
        <f t="shared" si="11"/>
        <v>9.870301433410603</v>
      </c>
      <c r="H43" s="1319">
        <f t="shared" si="11"/>
        <v>-37.431345738286112</v>
      </c>
      <c r="I43" s="971">
        <f>SUM(D43:INDEX(D43:H43,0,MATCH('RFPR cover'!$C$9,$D$6:$H$6,0)))</f>
        <v>47.927998977844339</v>
      </c>
      <c r="J43" s="971">
        <f t="shared" ref="J43" si="12">SUM(D43:H43)</f>
        <v>200.32232352174293</v>
      </c>
      <c r="L43"/>
      <c r="M43"/>
      <c r="N43"/>
      <c r="O43"/>
      <c r="P43"/>
    </row>
    <row r="44" spans="2:16">
      <c r="B44" s="362"/>
      <c r="L44"/>
      <c r="M44"/>
      <c r="N44"/>
      <c r="O44"/>
      <c r="P44"/>
    </row>
    <row r="45" spans="2:16">
      <c r="B45" s="714" t="s">
        <v>347</v>
      </c>
      <c r="C45" s="74"/>
      <c r="D45" s="42"/>
      <c r="E45" s="42"/>
      <c r="F45" s="42"/>
      <c r="G45" s="42"/>
      <c r="H45" s="42"/>
      <c r="I45" s="42"/>
      <c r="J45" s="42"/>
    </row>
    <row r="46" spans="2:16">
      <c r="D46" s="1"/>
      <c r="E46" s="1"/>
      <c r="F46" s="1"/>
      <c r="G46" s="1"/>
      <c r="H46" s="1"/>
      <c r="I46" s="1"/>
      <c r="J46" s="1"/>
    </row>
    <row r="47" spans="2:16">
      <c r="B47" s="89" t="s">
        <v>325</v>
      </c>
      <c r="C47" s="39" t="str">
        <f>Data!$C$9</f>
        <v>£m 18/19</v>
      </c>
      <c r="D47" s="810">
        <v>42.449999999999996</v>
      </c>
      <c r="E47" s="810">
        <v>115.91999999999999</v>
      </c>
      <c r="F47" s="810">
        <v>198.54</v>
      </c>
      <c r="G47" s="810">
        <v>290.56</v>
      </c>
      <c r="H47" s="810">
        <v>452.38</v>
      </c>
      <c r="I47" s="439">
        <f>SUM(D47:INDEX(D47:H47,0,MATCH('RFPR cover'!$C$9,$D$6:$H$6,0)))</f>
        <v>42.449999999999996</v>
      </c>
      <c r="J47" s="440">
        <f>SUM(D47:H47)</f>
        <v>1099.8499999999999</v>
      </c>
      <c r="K47" s="37"/>
    </row>
    <row r="48" spans="2:16" ht="15" customHeight="1">
      <c r="B48" s="68" t="s">
        <v>348</v>
      </c>
      <c r="C48" s="39" t="str">
        <f>Data!$C$9</f>
        <v>£m 18/19</v>
      </c>
      <c r="D48" s="810">
        <v>225.2112698496953</v>
      </c>
      <c r="E48" s="810">
        <v>146.50603634924923</v>
      </c>
      <c r="F48" s="810">
        <v>324.23186082760128</v>
      </c>
      <c r="G48" s="810">
        <v>440.49882703191633</v>
      </c>
      <c r="H48" s="810">
        <v>666.60735331641081</v>
      </c>
      <c r="I48" s="441">
        <f>SUM(D48:INDEX(D48:H48,0,MATCH('RFPR cover'!$C$9,$D$6:$H$6,0)))</f>
        <v>225.2112698496953</v>
      </c>
      <c r="J48" s="442">
        <f>SUM(D48:H48)</f>
        <v>1803.055347374873</v>
      </c>
      <c r="K48" s="37"/>
    </row>
    <row r="49" spans="2:16">
      <c r="B49" s="467" t="s">
        <v>327</v>
      </c>
      <c r="C49" s="39" t="str">
        <f>Data!$C$9</f>
        <v>£m 18/19</v>
      </c>
      <c r="D49" s="1036">
        <f>D48-D47</f>
        <v>182.76126984969531</v>
      </c>
      <c r="E49" s="1036">
        <f t="shared" ref="E49:J49" si="13">E48-E47</f>
        <v>30.586036349249241</v>
      </c>
      <c r="F49" s="1036">
        <f t="shared" si="13"/>
        <v>125.69186082760129</v>
      </c>
      <c r="G49" s="1036">
        <f t="shared" si="13"/>
        <v>149.93882703191633</v>
      </c>
      <c r="H49" s="1036">
        <f t="shared" si="13"/>
        <v>214.22735331641081</v>
      </c>
      <c r="I49" s="758">
        <f t="shared" si="13"/>
        <v>182.76126984969531</v>
      </c>
      <c r="J49" s="971">
        <f t="shared" si="13"/>
        <v>703.2053473748731</v>
      </c>
      <c r="K49" s="91"/>
      <c r="L49" s="91"/>
      <c r="M49" s="91"/>
      <c r="N49"/>
      <c r="O49"/>
      <c r="P49"/>
    </row>
    <row r="50" spans="2:16">
      <c r="B50" s="467"/>
      <c r="C50" s="39"/>
      <c r="D50" s="33"/>
      <c r="E50" s="33"/>
      <c r="F50" s="33"/>
      <c r="G50" s="33"/>
      <c r="H50" s="33"/>
      <c r="I50" s="33"/>
      <c r="J50" s="33"/>
      <c r="K50" s="38"/>
      <c r="L50" s="38"/>
      <c r="M50" s="38"/>
      <c r="N50"/>
      <c r="O50"/>
      <c r="P50"/>
    </row>
    <row r="51" spans="2:16">
      <c r="B51" s="67" t="s">
        <v>328</v>
      </c>
      <c r="C51" s="70" t="s">
        <v>225</v>
      </c>
      <c r="D51" s="58">
        <f>INDEX(Data!$C$55:$C$83,MATCH('RFPR cover'!$C$7,Data!$B$55:$B$83,0),0)</f>
        <v>0.67</v>
      </c>
      <c r="E51" s="58">
        <f>INDEX(Data!$C$55:$C$83,MATCH('RFPR cover'!$C$7,Data!$B$55:$B$83,0),0)</f>
        <v>0.67</v>
      </c>
      <c r="F51" s="58">
        <f>INDEX(Data!$C$55:$C$83,MATCH('RFPR cover'!$C$7,Data!$B$55:$B$83,0),0)</f>
        <v>0.67</v>
      </c>
      <c r="G51" s="58">
        <f>INDEX(Data!$C$55:$C$83,MATCH('RFPR cover'!$C$7,Data!$B$55:$B$83,0),0)</f>
        <v>0.67</v>
      </c>
      <c r="H51" s="58">
        <f>INDEX(Data!$C$55:$C$83,MATCH('RFPR cover'!$C$7,Data!$B$55:$B$83,0),0)</f>
        <v>0.67</v>
      </c>
      <c r="I51" s="36"/>
      <c r="J51" s="36"/>
      <c r="K51"/>
      <c r="L51"/>
      <c r="M51"/>
      <c r="N51"/>
      <c r="O51"/>
      <c r="P51"/>
    </row>
    <row r="52" spans="2:16">
      <c r="K52"/>
      <c r="L52"/>
      <c r="M52"/>
      <c r="N52"/>
      <c r="O52"/>
      <c r="P52"/>
    </row>
    <row r="53" spans="2:16">
      <c r="B53" s="67" t="s">
        <v>329</v>
      </c>
      <c r="C53" s="39" t="str">
        <f>Data!$C$9</f>
        <v>£m 18/19</v>
      </c>
      <c r="D53" s="1036">
        <f>D49*D51</f>
        <v>122.45005079929587</v>
      </c>
      <c r="E53" s="1036">
        <f t="shared" ref="E53:H53" si="14">E49*E51</f>
        <v>20.492644353996994</v>
      </c>
      <c r="F53" s="1036">
        <f t="shared" si="14"/>
        <v>84.213546754492867</v>
      </c>
      <c r="G53" s="1036">
        <f t="shared" si="14"/>
        <v>100.45901411138395</v>
      </c>
      <c r="H53" s="1036">
        <f t="shared" si="14"/>
        <v>143.53232672199525</v>
      </c>
      <c r="I53" s="177">
        <f>SUM(D53:INDEX(D53:H53,0,MATCH('RFPR cover'!$C$9,$D$6:$H$6,0)))</f>
        <v>122.45005079929587</v>
      </c>
      <c r="J53" s="424">
        <f>SUM(D53:H53)</f>
        <v>471.14758274116491</v>
      </c>
      <c r="K53"/>
      <c r="L53"/>
      <c r="M53"/>
      <c r="N53"/>
      <c r="O53"/>
      <c r="P53"/>
    </row>
    <row r="54" spans="2:16">
      <c r="B54" s="67" t="s">
        <v>330</v>
      </c>
      <c r="C54" s="39" t="str">
        <f>Data!$C$9</f>
        <v>£m 18/19</v>
      </c>
      <c r="D54" s="1036">
        <f>D49*(1-D51)</f>
        <v>60.311219050399444</v>
      </c>
      <c r="E54" s="1036">
        <f t="shared" ref="E54:H54" si="15">E49*(1-E51)</f>
        <v>10.093391995252249</v>
      </c>
      <c r="F54" s="1036">
        <f t="shared" si="15"/>
        <v>41.478314073108422</v>
      </c>
      <c r="G54" s="1036">
        <f t="shared" si="15"/>
        <v>49.479812920532382</v>
      </c>
      <c r="H54" s="1036">
        <f t="shared" si="15"/>
        <v>70.695026594415566</v>
      </c>
      <c r="I54" s="427">
        <f>SUM(D54:INDEX(D54:H54,0,MATCH('RFPR cover'!$C$9,$D$6:$H$6,0)))</f>
        <v>60.311219050399444</v>
      </c>
      <c r="J54" s="428">
        <f>SUM(D54:H54)</f>
        <v>232.05776463370805</v>
      </c>
      <c r="K54"/>
      <c r="L54"/>
      <c r="M54"/>
      <c r="N54"/>
      <c r="O54"/>
      <c r="P54"/>
    </row>
    <row r="55" spans="2:16">
      <c r="K55"/>
      <c r="L55"/>
      <c r="M55"/>
      <c r="N55"/>
      <c r="O55"/>
      <c r="P55"/>
    </row>
    <row r="56" spans="2:16">
      <c r="B56" s="362" t="s">
        <v>331</v>
      </c>
      <c r="K56"/>
      <c r="L56"/>
      <c r="M56"/>
      <c r="N56"/>
      <c r="O56"/>
      <c r="P56"/>
    </row>
    <row r="57" spans="2:16">
      <c r="B57" s="721" t="s">
        <v>341</v>
      </c>
      <c r="C57" s="39" t="str">
        <f>Data!$C$9</f>
        <v>£m 18/19</v>
      </c>
      <c r="D57" s="431"/>
      <c r="E57" s="431"/>
      <c r="F57" s="431"/>
      <c r="G57" s="431"/>
      <c r="H57" s="431"/>
      <c r="I57" s="44">
        <f>SUM(D57:INDEX(D57:H57,0,MATCH('RFPR cover'!$C$9,$D$6:$H$6,0)))</f>
        <v>0</v>
      </c>
      <c r="J57" s="46">
        <f>SUM(D57:H57)</f>
        <v>0</v>
      </c>
      <c r="K57"/>
      <c r="L57"/>
      <c r="M57"/>
      <c r="N57"/>
      <c r="O57"/>
      <c r="P57"/>
    </row>
    <row r="58" spans="2:16">
      <c r="B58" s="721" t="s">
        <v>342</v>
      </c>
      <c r="C58" s="39" t="str">
        <f>Data!$C$9</f>
        <v>£m 18/19</v>
      </c>
      <c r="D58" s="431"/>
      <c r="E58" s="431"/>
      <c r="F58" s="431"/>
      <c r="G58" s="431"/>
      <c r="H58" s="431"/>
      <c r="I58" s="44">
        <f>SUM(D58:INDEX(D58:H58,0,MATCH('RFPR cover'!$C$9,$D$6:$H$6,0)))</f>
        <v>0</v>
      </c>
      <c r="J58" s="46">
        <f t="shared" ref="J58:J59" si="16">SUM(D58:H58)</f>
        <v>0</v>
      </c>
      <c r="K58"/>
      <c r="L58"/>
      <c r="M58"/>
      <c r="N58"/>
      <c r="O58"/>
      <c r="P58"/>
    </row>
    <row r="59" spans="2:16">
      <c r="B59" s="362" t="s">
        <v>339</v>
      </c>
      <c r="C59" s="39" t="str">
        <f>Data!$C$9</f>
        <v>£m 18/19</v>
      </c>
      <c r="D59" s="1036">
        <f>SUM(D57:D58)</f>
        <v>0</v>
      </c>
      <c r="E59" s="1036">
        <f t="shared" ref="E59" si="17">SUM(E57:E58)</f>
        <v>0</v>
      </c>
      <c r="F59" s="1036">
        <f t="shared" ref="F59" si="18">SUM(F57:F58)</f>
        <v>0</v>
      </c>
      <c r="G59" s="1036">
        <f t="shared" ref="G59" si="19">SUM(G57:G58)</f>
        <v>0</v>
      </c>
      <c r="H59" s="1036">
        <f t="shared" ref="H59" si="20">SUM(H57:H58)</f>
        <v>0</v>
      </c>
      <c r="I59" s="44">
        <f>SUM(D59:INDEX(D59:H59,0,MATCH('RFPR cover'!$C$9,$D$6:$H$6,0)))</f>
        <v>0</v>
      </c>
      <c r="J59" s="46">
        <f t="shared" si="16"/>
        <v>0</v>
      </c>
      <c r="K59" s="362"/>
      <c r="L59" s="362"/>
      <c r="M59" s="362"/>
      <c r="N59" s="362"/>
      <c r="O59"/>
      <c r="P59"/>
    </row>
    <row r="60" spans="2:16">
      <c r="B60" s="362"/>
      <c r="C60" s="362"/>
      <c r="D60" s="362"/>
      <c r="E60" s="362"/>
      <c r="F60" s="362"/>
      <c r="G60" s="362"/>
      <c r="H60" s="362"/>
      <c r="I60" s="362"/>
      <c r="J60" s="362"/>
      <c r="K60" s="362"/>
      <c r="L60" s="362"/>
      <c r="M60" s="362"/>
      <c r="N60" s="362"/>
      <c r="O60"/>
      <c r="P60"/>
    </row>
    <row r="61" spans="2:16">
      <c r="B61" s="362" t="s">
        <v>340</v>
      </c>
      <c r="K61" s="362"/>
      <c r="L61" s="362"/>
      <c r="M61" s="362"/>
      <c r="N61" s="362"/>
      <c r="O61"/>
      <c r="P61"/>
    </row>
    <row r="62" spans="2:16">
      <c r="B62" s="721" t="s">
        <v>341</v>
      </c>
      <c r="C62" s="39" t="str">
        <f>Data!$C$9</f>
        <v>£m 18/19</v>
      </c>
      <c r="D62" s="431"/>
      <c r="E62" s="431"/>
      <c r="F62" s="431"/>
      <c r="G62" s="431"/>
      <c r="H62" s="431"/>
      <c r="I62" s="44">
        <f>SUM(D62:INDEX(D62:H62,0,MATCH('RFPR cover'!$C$9,$D$6:$H$6,0)))</f>
        <v>0</v>
      </c>
      <c r="J62" s="46">
        <f>SUM(D62:H62)</f>
        <v>0</v>
      </c>
      <c r="K62" s="362"/>
      <c r="L62" s="362"/>
      <c r="M62" s="362"/>
      <c r="N62" s="362"/>
      <c r="O62"/>
      <c r="P62"/>
    </row>
    <row r="63" spans="2:16">
      <c r="B63" s="721" t="s">
        <v>342</v>
      </c>
      <c r="C63" s="39" t="str">
        <f>Data!$C$9</f>
        <v>£m 18/19</v>
      </c>
      <c r="D63" s="431"/>
      <c r="E63" s="431"/>
      <c r="F63" s="431"/>
      <c r="G63" s="431"/>
      <c r="H63" s="431"/>
      <c r="I63" s="44">
        <f>SUM(D63:INDEX(D63:H63,0,MATCH('RFPR cover'!$C$9,$D$6:$H$6,0)))</f>
        <v>0</v>
      </c>
      <c r="J63" s="46">
        <f t="shared" ref="J63:J64" si="21">SUM(D63:H63)</f>
        <v>0</v>
      </c>
      <c r="K63" s="362"/>
      <c r="L63" s="362"/>
      <c r="M63" s="362"/>
      <c r="N63" s="362"/>
      <c r="O63"/>
      <c r="P63"/>
    </row>
    <row r="64" spans="2:16">
      <c r="B64" s="362" t="s">
        <v>339</v>
      </c>
      <c r="C64" s="39" t="str">
        <f>Data!$C$9</f>
        <v>£m 18/19</v>
      </c>
      <c r="D64" s="1036">
        <f>SUM(D62:D63)</f>
        <v>0</v>
      </c>
      <c r="E64" s="1036">
        <f t="shared" ref="E64:H64" si="22">SUM(E62:E63)</f>
        <v>0</v>
      </c>
      <c r="F64" s="1036">
        <f t="shared" si="22"/>
        <v>0</v>
      </c>
      <c r="G64" s="1036">
        <f t="shared" si="22"/>
        <v>0</v>
      </c>
      <c r="H64" s="1036">
        <f t="shared" si="22"/>
        <v>0</v>
      </c>
      <c r="I64" s="44">
        <f>SUM(D64:INDEX(D64:H64,0,MATCH('RFPR cover'!$C$9,$D$6:$H$6,0)))</f>
        <v>0</v>
      </c>
      <c r="J64" s="46">
        <f t="shared" si="21"/>
        <v>0</v>
      </c>
      <c r="K64" s="362"/>
      <c r="L64" s="362"/>
      <c r="M64" s="362"/>
      <c r="N64" s="362"/>
      <c r="O64"/>
      <c r="P64"/>
    </row>
    <row r="65" spans="2:17">
      <c r="B65" s="362"/>
      <c r="C65" s="362"/>
      <c r="D65" s="362"/>
      <c r="E65" s="362"/>
      <c r="F65" s="362"/>
      <c r="G65" s="362"/>
      <c r="H65" s="362"/>
      <c r="I65" s="362"/>
      <c r="J65" s="362"/>
      <c r="K65" s="362"/>
      <c r="L65" s="362"/>
      <c r="M65" s="362"/>
      <c r="N65" s="362"/>
      <c r="O65"/>
      <c r="P65"/>
    </row>
    <row r="66" spans="2:17">
      <c r="B66" s="67" t="s">
        <v>343</v>
      </c>
      <c r="C66" s="39"/>
      <c r="D66" s="1036">
        <f>D59*D51</f>
        <v>0</v>
      </c>
      <c r="E66" s="1036">
        <f t="shared" ref="E66:H66" si="23">E59*E51</f>
        <v>0</v>
      </c>
      <c r="F66" s="1036">
        <f t="shared" si="23"/>
        <v>0</v>
      </c>
      <c r="G66" s="1036">
        <f t="shared" si="23"/>
        <v>0</v>
      </c>
      <c r="H66" s="1036">
        <f t="shared" si="23"/>
        <v>0</v>
      </c>
      <c r="I66" s="47">
        <f>SUM(D66:INDEX(D66:H66,0,MATCH('RFPR cover'!$C$9,$D$6:$H$6,0)))</f>
        <v>0</v>
      </c>
      <c r="J66" s="49">
        <f>SUM(D66:H66)</f>
        <v>0</v>
      </c>
      <c r="K66" s="362"/>
      <c r="L66" s="362"/>
      <c r="M66" s="362"/>
      <c r="N66" s="362"/>
      <c r="O66"/>
      <c r="P66"/>
    </row>
    <row r="67" spans="2:17">
      <c r="B67" s="67" t="s">
        <v>344</v>
      </c>
      <c r="C67" s="39"/>
      <c r="D67" s="1036">
        <f>D59*(1-D51)+D64</f>
        <v>0</v>
      </c>
      <c r="E67" s="1036">
        <f t="shared" ref="E67:H67" si="24">E59*(1-E51)+E64</f>
        <v>0</v>
      </c>
      <c r="F67" s="1036">
        <f t="shared" si="24"/>
        <v>0</v>
      </c>
      <c r="G67" s="1036">
        <f t="shared" si="24"/>
        <v>0</v>
      </c>
      <c r="H67" s="1036">
        <f t="shared" si="24"/>
        <v>0</v>
      </c>
      <c r="I67" s="47">
        <f>SUM(D67:INDEX(D67:H67,0,MATCH('RFPR cover'!$C$9,$D$6:$H$6,0)))</f>
        <v>0</v>
      </c>
      <c r="J67" s="46">
        <f>SUM(D67:H67)</f>
        <v>0</v>
      </c>
      <c r="K67" s="362"/>
      <c r="L67" s="362"/>
      <c r="M67" s="362"/>
      <c r="N67" s="362"/>
      <c r="O67"/>
      <c r="P67"/>
    </row>
    <row r="68" spans="2:17">
      <c r="B68" s="362"/>
      <c r="C68" s="362"/>
      <c r="D68" s="362"/>
      <c r="E68" s="362"/>
      <c r="F68" s="362"/>
      <c r="G68" s="362"/>
      <c r="H68" s="362"/>
      <c r="I68" s="362"/>
      <c r="J68" s="362"/>
      <c r="K68" s="362"/>
      <c r="L68" s="362"/>
      <c r="M68" s="362"/>
      <c r="N68" s="362"/>
      <c r="O68"/>
      <c r="P68"/>
    </row>
    <row r="69" spans="2:17">
      <c r="B69" s="362" t="s">
        <v>345</v>
      </c>
      <c r="C69" s="362"/>
      <c r="D69" s="362"/>
      <c r="E69" s="362"/>
      <c r="F69" s="362"/>
      <c r="G69" s="362"/>
      <c r="H69" s="362"/>
      <c r="I69" s="362"/>
      <c r="J69" s="362"/>
      <c r="K69" s="362"/>
      <c r="L69" s="362"/>
      <c r="M69" s="362"/>
      <c r="N69" s="362"/>
      <c r="O69"/>
      <c r="P69"/>
    </row>
    <row r="70" spans="2:17">
      <c r="B70" s="67" t="s">
        <v>329</v>
      </c>
      <c r="C70" s="39" t="str">
        <f>Data!$C$9</f>
        <v>£m 18/19</v>
      </c>
      <c r="D70" s="1036">
        <f>D66+D53</f>
        <v>122.45005079929587</v>
      </c>
      <c r="E70" s="1036">
        <f t="shared" ref="E70:H70" si="25">E66+E53</f>
        <v>20.492644353996994</v>
      </c>
      <c r="F70" s="1036">
        <f t="shared" si="25"/>
        <v>84.213546754492867</v>
      </c>
      <c r="G70" s="1036">
        <f t="shared" si="25"/>
        <v>100.45901411138395</v>
      </c>
      <c r="H70" s="1036">
        <f t="shared" si="25"/>
        <v>143.53232672199525</v>
      </c>
      <c r="I70" s="44">
        <f>SUM(D70:INDEX(D70:H70,0,MATCH('RFPR cover'!$C$9,$D$6:$H$6,0)))</f>
        <v>122.45005079929587</v>
      </c>
      <c r="J70" s="46">
        <f>SUM(D70:H70)</f>
        <v>471.14758274116491</v>
      </c>
      <c r="K70" s="362"/>
      <c r="L70" s="362"/>
      <c r="M70" s="362"/>
      <c r="N70" s="362"/>
      <c r="O70"/>
      <c r="P70"/>
    </row>
    <row r="71" spans="2:17">
      <c r="B71" s="67" t="s">
        <v>330</v>
      </c>
      <c r="C71" s="39" t="str">
        <f>Data!$C$9</f>
        <v>£m 18/19</v>
      </c>
      <c r="D71" s="1036">
        <f>D54+D67</f>
        <v>60.311219050399444</v>
      </c>
      <c r="E71" s="1036">
        <f t="shared" ref="E71:H71" si="26">E54+E67</f>
        <v>10.093391995252249</v>
      </c>
      <c r="F71" s="1036">
        <f t="shared" si="26"/>
        <v>41.478314073108422</v>
      </c>
      <c r="G71" s="1036">
        <f t="shared" si="26"/>
        <v>49.479812920532382</v>
      </c>
      <c r="H71" s="1036">
        <f t="shared" si="26"/>
        <v>70.695026594415566</v>
      </c>
      <c r="I71" s="44">
        <f>SUM(D71:INDEX(D71:H71,0,MATCH('RFPR cover'!$C$9,$D$6:$H$6,0)))</f>
        <v>60.311219050399444</v>
      </c>
      <c r="J71" s="46">
        <f t="shared" ref="J71" si="27">SUM(D71:H71)</f>
        <v>232.05776463370805</v>
      </c>
      <c r="K71" s="362"/>
      <c r="L71" s="362"/>
      <c r="M71" s="362"/>
      <c r="N71" s="362"/>
      <c r="O71"/>
      <c r="P71"/>
    </row>
    <row r="72" spans="2:17">
      <c r="B72" s="362" t="s">
        <v>346</v>
      </c>
      <c r="C72" s="78" t="str">
        <f>Data!$C$9</f>
        <v>£m 18/19</v>
      </c>
      <c r="D72" s="1036">
        <f>SUM(D70:D71)</f>
        <v>182.76126984969531</v>
      </c>
      <c r="E72" s="1036">
        <f t="shared" ref="E72:H72" si="28">SUM(E70:E71)</f>
        <v>30.586036349249241</v>
      </c>
      <c r="F72" s="1036">
        <f t="shared" si="28"/>
        <v>125.69186082760129</v>
      </c>
      <c r="G72" s="1036">
        <f t="shared" si="28"/>
        <v>149.93882703191633</v>
      </c>
      <c r="H72" s="1036">
        <f t="shared" si="28"/>
        <v>214.22735331641081</v>
      </c>
      <c r="I72" s="44">
        <f>SUM(D72:INDEX(D72:H72,0,MATCH('RFPR cover'!$C$9,$D$6:$H$6,0)))</f>
        <v>182.76126984969531</v>
      </c>
      <c r="J72" s="46">
        <f t="shared" ref="J72" si="29">SUM(D72:H72)</f>
        <v>703.20534737487299</v>
      </c>
      <c r="K72"/>
      <c r="L72"/>
      <c r="M72"/>
      <c r="N72"/>
      <c r="O72"/>
      <c r="P72"/>
    </row>
    <row r="73" spans="2:17">
      <c r="C73" s="39"/>
      <c r="D73" s="39"/>
      <c r="E73" s="39"/>
      <c r="F73" s="39"/>
      <c r="G73" s="39"/>
      <c r="H73" s="39"/>
      <c r="I73" s="39"/>
      <c r="J73" s="39"/>
      <c r="K73" s="39"/>
      <c r="L73" s="39"/>
      <c r="M73" s="39"/>
      <c r="N73" s="39"/>
      <c r="O73" s="39"/>
      <c r="P73" s="39"/>
      <c r="Q73" s="39"/>
    </row>
    <row r="74" spans="2:17">
      <c r="B74" s="714" t="s">
        <v>349</v>
      </c>
      <c r="C74" s="74"/>
      <c r="D74" s="42"/>
      <c r="E74" s="42"/>
      <c r="F74" s="42"/>
      <c r="G74" s="42"/>
      <c r="H74" s="42"/>
      <c r="I74" s="42"/>
      <c r="J74" s="42"/>
      <c r="K74"/>
      <c r="L74"/>
      <c r="M74"/>
      <c r="N74"/>
      <c r="O74"/>
      <c r="P74"/>
    </row>
    <row r="75" spans="2:17">
      <c r="D75" s="1"/>
      <c r="E75" s="1"/>
      <c r="F75" s="1"/>
      <c r="G75" s="1"/>
      <c r="H75" s="1"/>
      <c r="I75" s="1"/>
      <c r="J75" s="1"/>
      <c r="K75"/>
      <c r="L75"/>
      <c r="M75"/>
      <c r="N75"/>
      <c r="O75"/>
      <c r="P75"/>
    </row>
    <row r="76" spans="2:17">
      <c r="B76" s="89" t="s">
        <v>350</v>
      </c>
      <c r="C76" s="39" t="str">
        <f>Data!$C$9</f>
        <v>£m 18/19</v>
      </c>
      <c r="D76" s="810"/>
      <c r="E76" s="810"/>
      <c r="F76" s="810"/>
      <c r="G76" s="810"/>
      <c r="H76" s="810"/>
      <c r="I76" s="439">
        <f>SUM(D76:INDEX(D76:H76,0,MATCH('RFPR cover'!$C$9,$D$6:$H$6,0)))</f>
        <v>0</v>
      </c>
      <c r="J76" s="440">
        <f>SUM(D76:H76)</f>
        <v>0</v>
      </c>
      <c r="K76"/>
      <c r="L76"/>
      <c r="M76"/>
      <c r="N76"/>
      <c r="O76"/>
      <c r="P76"/>
    </row>
    <row r="77" spans="2:17" ht="16.5" customHeight="1">
      <c r="B77" s="68" t="s">
        <v>351</v>
      </c>
      <c r="C77" s="11" t="str">
        <f>Data!$C$9</f>
        <v>£m 18/19</v>
      </c>
      <c r="D77" s="810"/>
      <c r="E77" s="810"/>
      <c r="F77" s="810"/>
      <c r="G77" s="810"/>
      <c r="H77" s="810"/>
      <c r="I77" s="811">
        <f>SUM(D77:INDEX(D77:H77,0,MATCH('RFPR cover'!$C$9,$D$6:$H$6,0)))</f>
        <v>0</v>
      </c>
      <c r="J77" s="812">
        <f>SUM(D77:H77)</f>
        <v>0</v>
      </c>
      <c r="K77" s="813"/>
      <c r="L77" s="813"/>
      <c r="M77" s="813"/>
      <c r="N77" s="813"/>
      <c r="O77" s="813"/>
      <c r="P77" s="813"/>
    </row>
    <row r="78" spans="2:17">
      <c r="B78" s="467" t="s">
        <v>327</v>
      </c>
      <c r="C78" s="39" t="str">
        <f>Data!$C$9</f>
        <v>£m 18/19</v>
      </c>
      <c r="D78" s="1036">
        <f>D77-D76</f>
        <v>0</v>
      </c>
      <c r="E78" s="1036">
        <f t="shared" ref="E78:J78" si="30">E77-E76</f>
        <v>0</v>
      </c>
      <c r="F78" s="1036">
        <f t="shared" si="30"/>
        <v>0</v>
      </c>
      <c r="G78" s="1036">
        <f t="shared" si="30"/>
        <v>0</v>
      </c>
      <c r="H78" s="1036">
        <f t="shared" si="30"/>
        <v>0</v>
      </c>
      <c r="I78" s="758">
        <f t="shared" si="30"/>
        <v>0</v>
      </c>
      <c r="J78" s="971">
        <f t="shared" si="30"/>
        <v>0</v>
      </c>
      <c r="K78"/>
      <c r="L78"/>
      <c r="M78"/>
      <c r="N78"/>
      <c r="O78"/>
      <c r="P78"/>
    </row>
    <row r="79" spans="2:17">
      <c r="B79" s="467"/>
      <c r="C79" s="39"/>
      <c r="D79" s="33"/>
      <c r="E79" s="33"/>
      <c r="F79" s="33"/>
      <c r="G79" s="33"/>
      <c r="H79" s="33"/>
      <c r="I79" s="33"/>
      <c r="J79" s="33"/>
      <c r="K79"/>
      <c r="L79"/>
      <c r="M79"/>
      <c r="N79"/>
      <c r="O79"/>
      <c r="P79"/>
    </row>
    <row r="80" spans="2:17">
      <c r="B80" s="67" t="s">
        <v>328</v>
      </c>
      <c r="C80" s="70" t="s">
        <v>225</v>
      </c>
      <c r="D80" s="58">
        <f>INDEX(Data!$C$55:$C$83,MATCH('RFPR cover'!$C$7,Data!$B$55:$B$83,0),0)</f>
        <v>0.67</v>
      </c>
      <c r="E80" s="58">
        <f>INDEX(Data!$C$55:$C$83,MATCH('RFPR cover'!$C$7,Data!$B$55:$B$83,0),0)</f>
        <v>0.67</v>
      </c>
      <c r="F80" s="58">
        <f>INDEX(Data!$C$55:$C$83,MATCH('RFPR cover'!$C$7,Data!$B$55:$B$83,0),0)</f>
        <v>0.67</v>
      </c>
      <c r="G80" s="58">
        <f>INDEX(Data!$C$55:$C$83,MATCH('RFPR cover'!$C$7,Data!$B$55:$B$83,0),0)</f>
        <v>0.67</v>
      </c>
      <c r="H80" s="58">
        <f>INDEX(Data!$C$55:$C$83,MATCH('RFPR cover'!$C$7,Data!$B$55:$B$83,0),0)</f>
        <v>0.67</v>
      </c>
      <c r="I80" s="36"/>
      <c r="J80" s="36"/>
      <c r="K80"/>
      <c r="L80"/>
      <c r="M80"/>
      <c r="N80"/>
      <c r="O80"/>
      <c r="P80"/>
    </row>
    <row r="81" spans="2:16">
      <c r="K81"/>
      <c r="L81"/>
      <c r="M81"/>
      <c r="N81"/>
      <c r="O81"/>
      <c r="P81"/>
    </row>
    <row r="82" spans="2:16">
      <c r="B82" s="67" t="s">
        <v>329</v>
      </c>
      <c r="C82" s="39" t="str">
        <f>Data!$C$9</f>
        <v>£m 18/19</v>
      </c>
      <c r="D82" s="1036">
        <f>D78*D80</f>
        <v>0</v>
      </c>
      <c r="E82" s="1036">
        <f t="shared" ref="E82:H82" si="31">E78*E80</f>
        <v>0</v>
      </c>
      <c r="F82" s="1036">
        <f t="shared" si="31"/>
        <v>0</v>
      </c>
      <c r="G82" s="1036">
        <f t="shared" si="31"/>
        <v>0</v>
      </c>
      <c r="H82" s="1036">
        <f t="shared" si="31"/>
        <v>0</v>
      </c>
      <c r="I82" s="177">
        <f>SUM(D82:INDEX(D82:H82,0,MATCH('RFPR cover'!$C$9,$D$6:$H$6,0)))</f>
        <v>0</v>
      </c>
      <c r="J82" s="424">
        <f>SUM(D82:H82)</f>
        <v>0</v>
      </c>
      <c r="K82"/>
      <c r="L82"/>
      <c r="M82"/>
      <c r="N82"/>
      <c r="O82"/>
      <c r="P82"/>
    </row>
    <row r="83" spans="2:16">
      <c r="B83" s="67" t="s">
        <v>330</v>
      </c>
      <c r="C83" s="39" t="str">
        <f>Data!$C$9</f>
        <v>£m 18/19</v>
      </c>
      <c r="D83" s="1036">
        <f>D78*(1-D80)</f>
        <v>0</v>
      </c>
      <c r="E83" s="1036">
        <f t="shared" ref="E83:H83" si="32">E78*(1-E80)</f>
        <v>0</v>
      </c>
      <c r="F83" s="1036">
        <f t="shared" si="32"/>
        <v>0</v>
      </c>
      <c r="G83" s="1036">
        <f t="shared" si="32"/>
        <v>0</v>
      </c>
      <c r="H83" s="1036">
        <f t="shared" si="32"/>
        <v>0</v>
      </c>
      <c r="I83" s="427">
        <f>SUM(D83:INDEX(D83:H83,0,MATCH('RFPR cover'!$C$9,$D$6:$H$6,0)))</f>
        <v>0</v>
      </c>
      <c r="J83" s="428">
        <f>SUM(D83:H83)</f>
        <v>0</v>
      </c>
      <c r="K83"/>
      <c r="L83"/>
      <c r="M83"/>
      <c r="N83"/>
      <c r="O83"/>
      <c r="P83"/>
    </row>
    <row r="84" spans="2:16">
      <c r="C84" s="67"/>
      <c r="D84" s="67"/>
      <c r="E84" s="67"/>
      <c r="F84" s="67"/>
      <c r="G84" s="67"/>
      <c r="H84" s="67"/>
      <c r="I84" s="67"/>
      <c r="J84" s="67"/>
      <c r="K84" s="67"/>
      <c r="L84" s="67"/>
      <c r="M84"/>
      <c r="N84"/>
      <c r="O84"/>
      <c r="P84"/>
    </row>
    <row r="85" spans="2:16">
      <c r="B85" s="362" t="s">
        <v>331</v>
      </c>
      <c r="K85" s="67"/>
      <c r="L85" s="67"/>
      <c r="M85"/>
      <c r="N85"/>
      <c r="O85"/>
      <c r="P85"/>
    </row>
    <row r="86" spans="2:16">
      <c r="B86" s="721" t="s">
        <v>341</v>
      </c>
      <c r="C86" s="39" t="str">
        <f>Data!$C$9</f>
        <v>£m 18/19</v>
      </c>
      <c r="D86" s="431"/>
      <c r="E86" s="431"/>
      <c r="F86" s="431"/>
      <c r="G86" s="431"/>
      <c r="H86" s="431"/>
      <c r="I86" s="44">
        <f>SUM(D86:INDEX(D86:H86,0,MATCH('RFPR cover'!$C$9,$D$6:$H$6,0)))</f>
        <v>0</v>
      </c>
      <c r="J86" s="46">
        <f>SUM(D86:H86)</f>
        <v>0</v>
      </c>
      <c r="K86" s="67"/>
      <c r="L86" s="67"/>
      <c r="M86"/>
      <c r="N86"/>
      <c r="O86"/>
      <c r="P86"/>
    </row>
    <row r="87" spans="2:16">
      <c r="B87" s="721" t="s">
        <v>342</v>
      </c>
      <c r="C87" s="39" t="str">
        <f>Data!$C$9</f>
        <v>£m 18/19</v>
      </c>
      <c r="D87" s="431"/>
      <c r="E87" s="431"/>
      <c r="F87" s="431"/>
      <c r="G87" s="431"/>
      <c r="H87" s="431"/>
      <c r="I87" s="44">
        <f>SUM(D87:INDEX(D87:H87,0,MATCH('RFPR cover'!$C$9,$D$6:$H$6,0)))</f>
        <v>0</v>
      </c>
      <c r="J87" s="46">
        <f t="shared" ref="J87:J88" si="33">SUM(D87:H87)</f>
        <v>0</v>
      </c>
      <c r="K87" s="67"/>
      <c r="L87" s="67"/>
      <c r="M87"/>
      <c r="N87"/>
      <c r="O87"/>
      <c r="P87"/>
    </row>
    <row r="88" spans="2:16">
      <c r="B88" s="362" t="s">
        <v>339</v>
      </c>
      <c r="C88" s="39" t="str">
        <f>Data!$C$9</f>
        <v>£m 18/19</v>
      </c>
      <c r="D88" s="1036">
        <f>SUM(D86:D87)</f>
        <v>0</v>
      </c>
      <c r="E88" s="1036">
        <f t="shared" ref="E88" si="34">SUM(E86:E87)</f>
        <v>0</v>
      </c>
      <c r="F88" s="1036">
        <f t="shared" ref="F88" si="35">SUM(F86:F87)</f>
        <v>0</v>
      </c>
      <c r="G88" s="1036">
        <f t="shared" ref="G88" si="36">SUM(G86:G87)</f>
        <v>0</v>
      </c>
      <c r="H88" s="1036">
        <f t="shared" ref="H88" si="37">SUM(H86:H87)</f>
        <v>0</v>
      </c>
      <c r="I88" s="44">
        <f>SUM(D88:INDEX(D88:H88,0,MATCH('RFPR cover'!$C$9,$D$6:$H$6,0)))</f>
        <v>0</v>
      </c>
      <c r="J88" s="46">
        <f t="shared" si="33"/>
        <v>0</v>
      </c>
      <c r="K88" s="67"/>
      <c r="L88" s="67"/>
      <c r="M88"/>
      <c r="N88"/>
      <c r="O88"/>
      <c r="P88"/>
    </row>
    <row r="89" spans="2:16">
      <c r="B89" s="362"/>
      <c r="C89" s="362"/>
      <c r="D89" s="362"/>
      <c r="E89" s="362"/>
      <c r="F89" s="362"/>
      <c r="G89" s="362"/>
      <c r="H89" s="362"/>
      <c r="I89" s="362"/>
      <c r="J89" s="362"/>
      <c r="K89" s="67"/>
      <c r="L89" s="67"/>
      <c r="M89"/>
      <c r="N89"/>
      <c r="O89"/>
      <c r="P89"/>
    </row>
    <row r="90" spans="2:16">
      <c r="B90" s="67" t="s">
        <v>343</v>
      </c>
      <c r="C90" s="39"/>
      <c r="D90" s="1036">
        <f>D88*D80</f>
        <v>0</v>
      </c>
      <c r="E90" s="1036">
        <f t="shared" ref="E90:H90" si="38">E88*E80</f>
        <v>0</v>
      </c>
      <c r="F90" s="1036">
        <f t="shared" si="38"/>
        <v>0</v>
      </c>
      <c r="G90" s="1036">
        <f t="shared" si="38"/>
        <v>0</v>
      </c>
      <c r="H90" s="1036">
        <f t="shared" si="38"/>
        <v>0</v>
      </c>
      <c r="I90" s="47">
        <f>SUM(D90:INDEX(D90:H90,0,MATCH('RFPR cover'!$C$9,$D$6:$H$6,0)))</f>
        <v>0</v>
      </c>
      <c r="J90" s="49">
        <f>SUM(D90:H90)</f>
        <v>0</v>
      </c>
      <c r="K90" s="67"/>
      <c r="L90" s="67"/>
      <c r="M90"/>
      <c r="N90"/>
      <c r="O90"/>
      <c r="P90"/>
    </row>
    <row r="91" spans="2:16">
      <c r="B91" s="67" t="s">
        <v>344</v>
      </c>
      <c r="C91" s="39"/>
      <c r="D91" s="1036">
        <f>D88*(1-D80)</f>
        <v>0</v>
      </c>
      <c r="E91" s="1036">
        <f t="shared" ref="E91:H91" si="39">E88*(1-E80)</f>
        <v>0</v>
      </c>
      <c r="F91" s="1036">
        <f t="shared" si="39"/>
        <v>0</v>
      </c>
      <c r="G91" s="1036">
        <f t="shared" si="39"/>
        <v>0</v>
      </c>
      <c r="H91" s="1036">
        <f t="shared" si="39"/>
        <v>0</v>
      </c>
      <c r="I91" s="44">
        <v>0</v>
      </c>
      <c r="J91" s="46">
        <f>SUM(D91:H91)</f>
        <v>0</v>
      </c>
      <c r="K91" s="67"/>
      <c r="L91" s="67"/>
      <c r="M91"/>
      <c r="N91"/>
      <c r="O91"/>
      <c r="P91"/>
    </row>
    <row r="92" spans="2:16">
      <c r="B92" s="362"/>
      <c r="C92" s="362"/>
      <c r="D92" s="362"/>
      <c r="E92" s="362"/>
      <c r="F92" s="362"/>
      <c r="G92" s="362"/>
      <c r="H92" s="362"/>
      <c r="I92" s="362"/>
      <c r="J92" s="362"/>
      <c r="K92" s="67"/>
      <c r="L92" s="67"/>
      <c r="M92"/>
      <c r="N92"/>
      <c r="O92"/>
      <c r="P92"/>
    </row>
    <row r="93" spans="2:16">
      <c r="B93" s="362" t="s">
        <v>345</v>
      </c>
      <c r="C93" s="362"/>
      <c r="D93" s="362"/>
      <c r="E93" s="362"/>
      <c r="F93" s="362"/>
      <c r="G93" s="362"/>
      <c r="H93" s="362"/>
      <c r="I93" s="362"/>
      <c r="J93" s="362"/>
      <c r="K93" s="67"/>
      <c r="L93" s="67"/>
      <c r="M93"/>
      <c r="N93"/>
      <c r="O93"/>
      <c r="P93"/>
    </row>
    <row r="94" spans="2:16">
      <c r="B94" s="67" t="s">
        <v>329</v>
      </c>
      <c r="C94" s="39" t="str">
        <f>Data!$C$9</f>
        <v>£m 18/19</v>
      </c>
      <c r="D94" s="1036">
        <f>D90+D82</f>
        <v>0</v>
      </c>
      <c r="E94" s="1036">
        <f t="shared" ref="E94:H94" si="40">E90+E82</f>
        <v>0</v>
      </c>
      <c r="F94" s="1036">
        <f t="shared" si="40"/>
        <v>0</v>
      </c>
      <c r="G94" s="1036">
        <f t="shared" si="40"/>
        <v>0</v>
      </c>
      <c r="H94" s="1036">
        <f t="shared" si="40"/>
        <v>0</v>
      </c>
      <c r="I94" s="44">
        <f>SUM(D94:INDEX(D94:H94,0,MATCH('RFPR cover'!$C$9,$D$6:$H$6,0)))</f>
        <v>0</v>
      </c>
      <c r="J94" s="46">
        <f>SUM(D94:H94)</f>
        <v>0</v>
      </c>
      <c r="K94" s="67"/>
      <c r="L94" s="67"/>
      <c r="M94"/>
      <c r="N94"/>
      <c r="O94"/>
      <c r="P94"/>
    </row>
    <row r="95" spans="2:16">
      <c r="B95" s="67" t="s">
        <v>330</v>
      </c>
      <c r="C95" s="39" t="str">
        <f>Data!$C$9</f>
        <v>£m 18/19</v>
      </c>
      <c r="D95" s="1036">
        <f>D83+D91</f>
        <v>0</v>
      </c>
      <c r="E95" s="1036">
        <f t="shared" ref="E95:H95" si="41">E83+E91</f>
        <v>0</v>
      </c>
      <c r="F95" s="1036">
        <f t="shared" si="41"/>
        <v>0</v>
      </c>
      <c r="G95" s="1036">
        <f t="shared" si="41"/>
        <v>0</v>
      </c>
      <c r="H95" s="1036">
        <f t="shared" si="41"/>
        <v>0</v>
      </c>
      <c r="I95" s="44">
        <f>SUM(D95:INDEX(D95:H95,0,MATCH('RFPR cover'!$C$9,$D$6:$H$6,0)))</f>
        <v>0</v>
      </c>
      <c r="J95" s="46">
        <f t="shared" ref="J95:J96" si="42">SUM(D95:H95)</f>
        <v>0</v>
      </c>
      <c r="K95" s="67"/>
      <c r="L95" s="67"/>
      <c r="M95"/>
      <c r="N95"/>
      <c r="O95"/>
      <c r="P95"/>
    </row>
    <row r="96" spans="2:16">
      <c r="B96" s="362" t="s">
        <v>346</v>
      </c>
      <c r="C96" s="78" t="str">
        <f>Data!$C$9</f>
        <v>£m 18/19</v>
      </c>
      <c r="D96" s="1036">
        <f>SUM(D94:D95)</f>
        <v>0</v>
      </c>
      <c r="E96" s="1036">
        <f t="shared" ref="E96:H96" si="43">SUM(E94:E95)</f>
        <v>0</v>
      </c>
      <c r="F96" s="1036">
        <f t="shared" si="43"/>
        <v>0</v>
      </c>
      <c r="G96" s="1036">
        <f t="shared" si="43"/>
        <v>0</v>
      </c>
      <c r="H96" s="1036">
        <f t="shared" si="43"/>
        <v>0</v>
      </c>
      <c r="I96" s="44">
        <f>SUM(D96:INDEX(D96:H96,0,MATCH('RFPR cover'!$C$9,$D$6:$H$6,0)))</f>
        <v>0</v>
      </c>
      <c r="J96" s="46">
        <f t="shared" si="42"/>
        <v>0</v>
      </c>
      <c r="K96"/>
      <c r="L96"/>
      <c r="M96"/>
      <c r="N96"/>
      <c r="O96"/>
      <c r="P96"/>
    </row>
    <row r="97" spans="2:16">
      <c r="K97"/>
      <c r="L97"/>
      <c r="M97"/>
      <c r="N97"/>
      <c r="O97"/>
      <c r="P97"/>
    </row>
    <row r="98" spans="2:16">
      <c r="B98" s="465" t="s">
        <v>352</v>
      </c>
      <c r="C98" s="74"/>
      <c r="D98" s="42"/>
      <c r="E98" s="42"/>
      <c r="F98" s="42"/>
      <c r="G98" s="42"/>
      <c r="H98" s="42"/>
      <c r="I98" s="42"/>
      <c r="J98" s="42"/>
      <c r="N98"/>
      <c r="O98"/>
      <c r="P98"/>
    </row>
    <row r="99" spans="2:16">
      <c r="K99"/>
      <c r="L99"/>
      <c r="M99"/>
      <c r="N99"/>
      <c r="O99"/>
      <c r="P99"/>
    </row>
    <row r="100" spans="2:16">
      <c r="B100" s="362" t="s">
        <v>353</v>
      </c>
      <c r="N100"/>
      <c r="O100"/>
      <c r="P100"/>
    </row>
    <row r="101" spans="2:16">
      <c r="B101" s="67" t="s">
        <v>354</v>
      </c>
      <c r="C101" s="39" t="str">
        <f>Data!$C$9</f>
        <v>£m 18/19</v>
      </c>
      <c r="D101" s="1036">
        <f t="shared" ref="D101:H102" si="44">D41+D70+D94</f>
        <v>154.56181011445159</v>
      </c>
      <c r="E101" s="1036">
        <f t="shared" si="44"/>
        <v>159.88198491734715</v>
      </c>
      <c r="F101" s="1036">
        <f t="shared" si="44"/>
        <v>65.394303319821361</v>
      </c>
      <c r="G101" s="1036">
        <f t="shared" si="44"/>
        <v>107.07211607176906</v>
      </c>
      <c r="H101" s="1036">
        <f t="shared" si="44"/>
        <v>118.45332507734355</v>
      </c>
      <c r="I101" s="44">
        <f>SUM(D101:INDEX(D101:H101,0,MATCH('RFPR cover'!$C$9,$D$6:$H$6,0)))</f>
        <v>154.56181011445159</v>
      </c>
      <c r="J101" s="46">
        <f>SUM(D101:H101)</f>
        <v>605.36353950073271</v>
      </c>
      <c r="N101"/>
      <c r="O101" s="696"/>
      <c r="P101"/>
    </row>
    <row r="102" spans="2:16">
      <c r="B102" s="67" t="s">
        <v>330</v>
      </c>
      <c r="C102" s="39" t="str">
        <f>Data!$C$9</f>
        <v>£m 18/19</v>
      </c>
      <c r="D102" s="1036">
        <f t="shared" si="44"/>
        <v>76.127458713088075</v>
      </c>
      <c r="E102" s="1036">
        <f t="shared" si="44"/>
        <v>78.747843317499317</v>
      </c>
      <c r="F102" s="1036">
        <f t="shared" si="44"/>
        <v>32.209134470956784</v>
      </c>
      <c r="G102" s="1036">
        <f t="shared" si="44"/>
        <v>52.737012393557876</v>
      </c>
      <c r="H102" s="1036">
        <f t="shared" si="44"/>
        <v>58.342682500781152</v>
      </c>
      <c r="I102" s="44">
        <f>SUM(D102:INDEX(D102:H102,0,MATCH('RFPR cover'!$C$9,$D$6:$H$6,0)))</f>
        <v>76.127458713088075</v>
      </c>
      <c r="J102" s="46">
        <f t="shared" ref="J102:J103" si="45">SUM(D102:H102)</f>
        <v>298.1641313958832</v>
      </c>
      <c r="N102"/>
      <c r="O102"/>
      <c r="P102"/>
    </row>
    <row r="103" spans="2:16">
      <c r="B103" s="362" t="s">
        <v>355</v>
      </c>
      <c r="C103" s="78" t="str">
        <f>Data!$C$9</f>
        <v>£m 18/19</v>
      </c>
      <c r="D103" s="1036">
        <f>SUM(D101:D102)</f>
        <v>230.68926882753965</v>
      </c>
      <c r="E103" s="1036">
        <f t="shared" ref="E103:H103" si="46">SUM(E101:E102)</f>
        <v>238.62982823484646</v>
      </c>
      <c r="F103" s="1036">
        <f t="shared" si="46"/>
        <v>97.603437790778145</v>
      </c>
      <c r="G103" s="1036">
        <f t="shared" si="46"/>
        <v>159.80912846532692</v>
      </c>
      <c r="H103" s="1036">
        <f t="shared" si="46"/>
        <v>176.79600757812472</v>
      </c>
      <c r="I103" s="44">
        <f>SUM(D103:INDEX(D103:H103,0,MATCH('RFPR cover'!$C$9,$D$6:$H$6,0)))</f>
        <v>230.68926882753965</v>
      </c>
      <c r="J103" s="46">
        <f t="shared" si="45"/>
        <v>903.52767089661597</v>
      </c>
      <c r="N103"/>
      <c r="O103"/>
      <c r="P103"/>
    </row>
    <row r="104" spans="2:16">
      <c r="B104" s="362"/>
      <c r="C104" s="78"/>
      <c r="D104" s="78"/>
      <c r="E104" s="78"/>
      <c r="F104" s="78"/>
      <c r="G104" s="78"/>
      <c r="H104" s="78"/>
      <c r="I104" s="78"/>
      <c r="J104" s="78"/>
      <c r="N104"/>
      <c r="O104"/>
      <c r="P104"/>
    </row>
    <row r="105" spans="2:16">
      <c r="B105" s="900" t="s">
        <v>356</v>
      </c>
      <c r="C105" s="129"/>
      <c r="D105" s="129"/>
      <c r="E105" s="129"/>
      <c r="F105" s="129"/>
      <c r="G105" s="129"/>
      <c r="H105" s="130"/>
      <c r="I105" s="130"/>
      <c r="J105" s="130"/>
    </row>
    <row r="107" spans="2:16">
      <c r="B107" s="2"/>
    </row>
    <row r="108" spans="2:16">
      <c r="B108" s="3"/>
      <c r="D108" s="249" t="str">
        <f t="shared" ref="D108:H108" si="47">IF(D109&lt;=Reporting_Year,"Actuals","N/A")</f>
        <v>Actuals</v>
      </c>
      <c r="E108" s="250" t="str">
        <f t="shared" si="47"/>
        <v>N/A</v>
      </c>
      <c r="F108" s="250" t="str">
        <f t="shared" si="47"/>
        <v>N/A</v>
      </c>
      <c r="G108" s="250" t="str">
        <f t="shared" si="47"/>
        <v>N/A</v>
      </c>
      <c r="H108" s="250" t="str">
        <f t="shared" si="47"/>
        <v>N/A</v>
      </c>
    </row>
    <row r="109" spans="2:16">
      <c r="B109" s="2"/>
      <c r="D109" s="63">
        <f>'RFPR cover'!$C$6</f>
        <v>2022</v>
      </c>
      <c r="E109" s="64">
        <f t="shared" ref="E109:H109" si="48">D109+1</f>
        <v>2023</v>
      </c>
      <c r="F109" s="64">
        <f t="shared" si="48"/>
        <v>2024</v>
      </c>
      <c r="G109" s="64">
        <f t="shared" si="48"/>
        <v>2025</v>
      </c>
      <c r="H109" s="64">
        <f t="shared" si="48"/>
        <v>2026</v>
      </c>
    </row>
    <row r="110" spans="2:16">
      <c r="B110" s="2"/>
      <c r="D110" s="43" t="str">
        <f>RIIO_2_start_date-1&amp;"/"&amp;RIGHT(RIIO_2_start_date,2)</f>
        <v>2021/22</v>
      </c>
      <c r="E110" s="43" t="str">
        <f>RIIO_2_start_date&amp;"/"&amp;RIGHT(RIIO_2_start_date+1,2)</f>
        <v>2022/23</v>
      </c>
      <c r="F110" s="43" t="str">
        <f>RIIO_2_start_date+1&amp;"/"&amp;RIGHT(RIIO_2_start_date+2,2)</f>
        <v>2023/24</v>
      </c>
      <c r="G110" s="43" t="str">
        <f>RIIO_2_start_date+2&amp;"/"&amp;RIGHT(RIIO_2_start_date+3,2)</f>
        <v>2024/25</v>
      </c>
      <c r="H110" s="43" t="str">
        <f>RIIO_2_start_date+3&amp;"/"&amp;RIGHT(RIIO_2_start_date+4,2)</f>
        <v>2025/26</v>
      </c>
    </row>
    <row r="111" spans="2:16">
      <c r="B111" s="2"/>
      <c r="D111" s="70"/>
      <c r="E111" s="70"/>
      <c r="F111" s="70"/>
      <c r="G111" s="70"/>
      <c r="H111" s="70"/>
      <c r="I111" s="70"/>
    </row>
    <row r="112" spans="2:16">
      <c r="B112" s="5" t="s">
        <v>357</v>
      </c>
      <c r="C112" s="71"/>
      <c r="D112" s="5"/>
      <c r="E112" s="5"/>
      <c r="F112" s="5"/>
      <c r="G112" s="5"/>
      <c r="H112" s="5"/>
      <c r="N112"/>
    </row>
    <row r="113" spans="1:16">
      <c r="B113" s="67" t="s">
        <v>358</v>
      </c>
      <c r="C113" s="76" t="s">
        <v>261</v>
      </c>
      <c r="D113" s="430">
        <v>1121</v>
      </c>
      <c r="E113" s="430">
        <v>0</v>
      </c>
      <c r="F113" s="430">
        <v>0</v>
      </c>
      <c r="G113" s="430">
        <v>0</v>
      </c>
      <c r="H113" s="430">
        <v>0</v>
      </c>
    </row>
    <row r="114" spans="1:16">
      <c r="B114" s="67" t="s">
        <v>359</v>
      </c>
      <c r="C114" s="76" t="s">
        <v>261</v>
      </c>
      <c r="D114" s="430">
        <v>73</v>
      </c>
      <c r="E114" s="430">
        <v>0</v>
      </c>
      <c r="F114" s="430">
        <v>0</v>
      </c>
      <c r="G114" s="430">
        <v>0</v>
      </c>
      <c r="H114" s="430">
        <v>0</v>
      </c>
    </row>
    <row r="115" spans="1:16" ht="40.5">
      <c r="B115" s="68" t="s">
        <v>360</v>
      </c>
      <c r="C115" s="76" t="s">
        <v>261</v>
      </c>
      <c r="D115" s="430">
        <v>0</v>
      </c>
      <c r="E115" s="430">
        <v>0</v>
      </c>
      <c r="F115" s="430">
        <v>0</v>
      </c>
      <c r="G115" s="430">
        <v>0</v>
      </c>
      <c r="H115" s="430">
        <v>0</v>
      </c>
    </row>
    <row r="116" spans="1:16">
      <c r="B116" s="67" t="s">
        <v>361</v>
      </c>
      <c r="C116" s="76" t="s">
        <v>261</v>
      </c>
      <c r="D116" s="430">
        <v>-34.026928489670134</v>
      </c>
      <c r="E116" s="430">
        <v>0</v>
      </c>
      <c r="F116" s="430">
        <v>0</v>
      </c>
      <c r="G116" s="430">
        <v>0</v>
      </c>
      <c r="H116" s="430">
        <v>0</v>
      </c>
    </row>
    <row r="117" spans="1:16">
      <c r="B117" s="67" t="s">
        <v>362</v>
      </c>
      <c r="C117" s="76" t="s">
        <v>261</v>
      </c>
      <c r="D117" s="430">
        <v>-55.546379750000007</v>
      </c>
      <c r="E117" s="430">
        <v>0</v>
      </c>
      <c r="F117" s="430">
        <v>0</v>
      </c>
      <c r="G117" s="430">
        <v>0</v>
      </c>
      <c r="H117" s="430">
        <v>0</v>
      </c>
      <c r="O117"/>
      <c r="P117"/>
    </row>
    <row r="118" spans="1:16">
      <c r="B118" s="67" t="s">
        <v>363</v>
      </c>
      <c r="C118" s="76" t="s">
        <v>261</v>
      </c>
      <c r="D118" s="430">
        <v>0</v>
      </c>
      <c r="E118" s="430">
        <v>0</v>
      </c>
      <c r="F118" s="430">
        <v>0</v>
      </c>
      <c r="G118" s="430">
        <v>0</v>
      </c>
      <c r="H118" s="430">
        <v>0</v>
      </c>
    </row>
    <row r="119" spans="1:16">
      <c r="A119" s="3">
        <v>1</v>
      </c>
      <c r="B119" s="721" t="s">
        <v>287</v>
      </c>
      <c r="C119" s="76" t="s">
        <v>261</v>
      </c>
      <c r="D119" s="430">
        <v>0</v>
      </c>
      <c r="E119" s="430">
        <v>0</v>
      </c>
      <c r="F119" s="430">
        <v>0</v>
      </c>
      <c r="G119" s="430">
        <v>0</v>
      </c>
      <c r="H119" s="430">
        <v>0</v>
      </c>
    </row>
    <row r="120" spans="1:16" ht="14" thickBot="1">
      <c r="A120" s="3">
        <v>2</v>
      </c>
      <c r="B120" s="721" t="s">
        <v>287</v>
      </c>
      <c r="C120" s="76" t="s">
        <v>261</v>
      </c>
      <c r="D120" s="430">
        <v>0</v>
      </c>
      <c r="E120" s="430">
        <v>0</v>
      </c>
      <c r="F120" s="430">
        <v>0</v>
      </c>
      <c r="G120" s="430">
        <v>0</v>
      </c>
      <c r="H120" s="430">
        <v>0</v>
      </c>
    </row>
    <row r="121" spans="1:16" ht="14" thickBot="1">
      <c r="A121" s="3">
        <v>3</v>
      </c>
      <c r="B121" s="1276" t="s">
        <v>279</v>
      </c>
      <c r="C121" s="76" t="s">
        <v>261</v>
      </c>
      <c r="D121" s="430">
        <v>0</v>
      </c>
      <c r="E121" s="430">
        <v>0</v>
      </c>
      <c r="F121" s="430">
        <v>0</v>
      </c>
      <c r="G121" s="430">
        <v>0</v>
      </c>
      <c r="H121" s="430">
        <v>0</v>
      </c>
    </row>
    <row r="122" spans="1:16">
      <c r="B122" s="5" t="s">
        <v>364</v>
      </c>
      <c r="C122" s="76" t="s">
        <v>261</v>
      </c>
      <c r="D122" s="435">
        <f t="shared" ref="D122:H122" si="49">SUM(D113:D121)</f>
        <v>1104.42669176033</v>
      </c>
      <c r="E122" s="1036">
        <f t="shared" si="49"/>
        <v>0</v>
      </c>
      <c r="F122" s="1036">
        <f t="shared" si="49"/>
        <v>0</v>
      </c>
      <c r="G122" s="1036">
        <f t="shared" si="49"/>
        <v>0</v>
      </c>
      <c r="H122" s="1036">
        <f t="shared" si="49"/>
        <v>0</v>
      </c>
    </row>
    <row r="123" spans="1:16">
      <c r="B123" s="67" t="s">
        <v>365</v>
      </c>
      <c r="C123" s="76" t="s">
        <v>261</v>
      </c>
      <c r="D123" s="430">
        <v>989.93311740000001</v>
      </c>
      <c r="E123" s="430">
        <v>0</v>
      </c>
      <c r="F123" s="430">
        <v>0</v>
      </c>
      <c r="G123" s="430">
        <v>0</v>
      </c>
      <c r="H123" s="430">
        <v>0</v>
      </c>
    </row>
    <row r="124" spans="1:16">
      <c r="A124" s="3">
        <v>1</v>
      </c>
      <c r="B124" s="721" t="s">
        <v>287</v>
      </c>
      <c r="C124" s="76" t="s">
        <v>261</v>
      </c>
      <c r="D124" s="430">
        <v>0</v>
      </c>
      <c r="E124" s="430">
        <v>0</v>
      </c>
      <c r="F124" s="430">
        <v>0</v>
      </c>
      <c r="G124" s="430">
        <v>0</v>
      </c>
      <c r="H124" s="430">
        <v>0</v>
      </c>
    </row>
    <row r="125" spans="1:16" ht="14" thickBot="1">
      <c r="A125" s="3">
        <v>2</v>
      </c>
      <c r="B125" s="721" t="s">
        <v>287</v>
      </c>
      <c r="C125" s="76" t="s">
        <v>261</v>
      </c>
      <c r="D125" s="430">
        <v>0</v>
      </c>
      <c r="E125" s="430">
        <v>0</v>
      </c>
      <c r="F125" s="430">
        <v>0</v>
      </c>
      <c r="G125" s="430">
        <v>0</v>
      </c>
      <c r="H125" s="430">
        <v>0</v>
      </c>
    </row>
    <row r="126" spans="1:16" ht="14" thickBot="1">
      <c r="A126" s="3">
        <v>3</v>
      </c>
      <c r="B126" s="1276" t="s">
        <v>279</v>
      </c>
      <c r="C126" s="76" t="s">
        <v>261</v>
      </c>
      <c r="D126" s="430">
        <v>0</v>
      </c>
      <c r="E126" s="430">
        <v>0</v>
      </c>
      <c r="F126" s="430">
        <v>0</v>
      </c>
      <c r="G126" s="430">
        <v>0</v>
      </c>
      <c r="H126" s="430">
        <v>0</v>
      </c>
    </row>
    <row r="127" spans="1:16">
      <c r="A127" s="3"/>
      <c r="B127" s="5" t="s">
        <v>366</v>
      </c>
      <c r="C127" s="76" t="s">
        <v>261</v>
      </c>
      <c r="D127" s="1036">
        <f>SUM(D123:D126)</f>
        <v>989.93311740000001</v>
      </c>
      <c r="E127" s="1036">
        <f t="shared" ref="E127:H127" si="50">SUM(E123:E126)</f>
        <v>0</v>
      </c>
      <c r="F127" s="1036">
        <f t="shared" si="50"/>
        <v>0</v>
      </c>
      <c r="G127" s="1036">
        <f t="shared" si="50"/>
        <v>0</v>
      </c>
      <c r="H127" s="1036">
        <f t="shared" si="50"/>
        <v>0</v>
      </c>
    </row>
    <row r="128" spans="1:16" s="377" customFormat="1" ht="15" customHeight="1">
      <c r="B128" s="543" t="s">
        <v>367</v>
      </c>
      <c r="C128" s="717" t="s">
        <v>261</v>
      </c>
      <c r="D128" s="1036">
        <f>SUM(D122,D127)</f>
        <v>2094.3598091603299</v>
      </c>
      <c r="E128" s="1036">
        <f t="shared" ref="E128:H128" si="51">SUM(E122,E127)</f>
        <v>0</v>
      </c>
      <c r="F128" s="1036">
        <f t="shared" si="51"/>
        <v>0</v>
      </c>
      <c r="G128" s="1036">
        <f t="shared" si="51"/>
        <v>0</v>
      </c>
      <c r="H128" s="1036">
        <f t="shared" si="51"/>
        <v>0</v>
      </c>
    </row>
    <row r="129" spans="1:8" ht="7.5" customHeight="1">
      <c r="B129" s="2"/>
      <c r="D129" s="30"/>
      <c r="E129" s="30"/>
      <c r="F129" s="30"/>
      <c r="G129" s="30"/>
      <c r="H129" s="30"/>
    </row>
    <row r="130" spans="1:8" ht="26.9" customHeight="1">
      <c r="B130" s="5" t="s">
        <v>368</v>
      </c>
      <c r="C130" s="76"/>
    </row>
    <row r="131" spans="1:8">
      <c r="B131" s="1050" t="s">
        <v>369</v>
      </c>
      <c r="C131" s="76"/>
    </row>
    <row r="132" spans="1:8">
      <c r="A132" s="3">
        <v>1</v>
      </c>
      <c r="B132" s="721" t="s">
        <v>370</v>
      </c>
      <c r="C132" s="76" t="s">
        <v>261</v>
      </c>
      <c r="D132" s="430">
        <v>11.270770519999999</v>
      </c>
      <c r="E132" s="430">
        <v>0</v>
      </c>
      <c r="F132" s="430">
        <v>0</v>
      </c>
      <c r="G132" s="430">
        <v>0</v>
      </c>
      <c r="H132" s="430">
        <v>0</v>
      </c>
    </row>
    <row r="133" spans="1:8">
      <c r="A133" s="3">
        <v>2</v>
      </c>
      <c r="B133" s="721" t="s">
        <v>371</v>
      </c>
      <c r="C133" s="76" t="s">
        <v>261</v>
      </c>
      <c r="D133" s="430">
        <v>-1.8505633162007011</v>
      </c>
      <c r="E133" s="430">
        <v>0</v>
      </c>
      <c r="F133" s="430">
        <v>0</v>
      </c>
      <c r="G133" s="430">
        <v>0</v>
      </c>
      <c r="H133" s="430">
        <v>0</v>
      </c>
    </row>
    <row r="134" spans="1:8">
      <c r="A134" s="3">
        <v>3</v>
      </c>
      <c r="B134" s="721" t="s">
        <v>372</v>
      </c>
      <c r="C134" s="76" t="s">
        <v>261</v>
      </c>
      <c r="D134" s="430">
        <v>11.221392713237574</v>
      </c>
      <c r="E134" s="430">
        <v>0</v>
      </c>
      <c r="F134" s="430">
        <v>0</v>
      </c>
      <c r="G134" s="430">
        <v>0</v>
      </c>
      <c r="H134" s="430">
        <v>0</v>
      </c>
    </row>
    <row r="135" spans="1:8">
      <c r="A135" s="3">
        <v>4</v>
      </c>
      <c r="B135" s="721" t="s">
        <v>373</v>
      </c>
      <c r="C135" s="76" t="s">
        <v>261</v>
      </c>
      <c r="D135" s="430">
        <v>14.048723233633567</v>
      </c>
      <c r="E135" s="430">
        <v>0</v>
      </c>
      <c r="F135" s="430">
        <v>0</v>
      </c>
      <c r="G135" s="430">
        <v>0</v>
      </c>
      <c r="H135" s="430">
        <v>0</v>
      </c>
    </row>
    <row r="136" spans="1:8">
      <c r="A136" s="3">
        <v>5</v>
      </c>
      <c r="B136" s="721" t="s">
        <v>374</v>
      </c>
      <c r="C136" s="76" t="s">
        <v>261</v>
      </c>
      <c r="D136" s="430">
        <v>35.406993632195757</v>
      </c>
      <c r="E136" s="430">
        <v>0</v>
      </c>
      <c r="F136" s="430">
        <v>0</v>
      </c>
      <c r="G136" s="430">
        <v>0</v>
      </c>
      <c r="H136" s="430">
        <v>0</v>
      </c>
    </row>
    <row r="137" spans="1:8" ht="14" thickBot="1">
      <c r="A137" s="3">
        <v>6</v>
      </c>
      <c r="B137" s="721" t="s">
        <v>375</v>
      </c>
      <c r="C137" s="76" t="s">
        <v>261</v>
      </c>
      <c r="D137" s="1239">
        <v>0.20921526000000001</v>
      </c>
      <c r="E137" s="1239">
        <v>0</v>
      </c>
      <c r="F137" s="1239">
        <v>0</v>
      </c>
      <c r="G137" s="1239">
        <v>0</v>
      </c>
      <c r="H137" s="1239">
        <v>0</v>
      </c>
    </row>
    <row r="138" spans="1:8" ht="14" thickBot="1">
      <c r="A138" s="3">
        <v>7</v>
      </c>
      <c r="B138" s="1282" t="s">
        <v>376</v>
      </c>
      <c r="C138" s="1283" t="s">
        <v>261</v>
      </c>
      <c r="D138" s="1284">
        <v>-514.31419069000003</v>
      </c>
      <c r="E138" s="1284">
        <v>0</v>
      </c>
      <c r="F138" s="1284">
        <v>0</v>
      </c>
      <c r="G138" s="1284">
        <v>0</v>
      </c>
      <c r="H138" s="1285">
        <v>0</v>
      </c>
    </row>
    <row r="139" spans="1:8">
      <c r="A139" s="3"/>
      <c r="B139" s="1242" t="s">
        <v>377</v>
      </c>
      <c r="C139" s="76" t="s">
        <v>261</v>
      </c>
      <c r="D139" s="1252">
        <v>-10.14</v>
      </c>
      <c r="E139" s="1252">
        <v>0</v>
      </c>
      <c r="F139" s="1252">
        <v>0</v>
      </c>
      <c r="G139" s="1252">
        <v>0</v>
      </c>
      <c r="H139" s="1253">
        <v>0</v>
      </c>
    </row>
    <row r="140" spans="1:8">
      <c r="A140" s="3"/>
      <c r="B140" s="1242" t="s">
        <v>378</v>
      </c>
      <c r="C140" s="76" t="s">
        <v>261</v>
      </c>
      <c r="D140" s="1252">
        <v>-25.327796750000001</v>
      </c>
      <c r="E140" s="1252">
        <v>0</v>
      </c>
      <c r="F140" s="1252">
        <v>0</v>
      </c>
      <c r="G140" s="1252">
        <v>0</v>
      </c>
      <c r="H140" s="1253">
        <v>0</v>
      </c>
    </row>
    <row r="141" spans="1:8">
      <c r="A141" s="3"/>
      <c r="B141" s="1242" t="s">
        <v>379</v>
      </c>
      <c r="C141" s="76" t="s">
        <v>261</v>
      </c>
      <c r="D141" s="1252">
        <v>-2.0920259128931198</v>
      </c>
      <c r="E141" s="1252">
        <v>0</v>
      </c>
      <c r="F141" s="1252">
        <v>0</v>
      </c>
      <c r="G141" s="1252">
        <v>0</v>
      </c>
      <c r="H141" s="1253">
        <v>0</v>
      </c>
    </row>
    <row r="142" spans="1:8">
      <c r="A142" s="3"/>
      <c r="B142" s="1242" t="s">
        <v>380</v>
      </c>
      <c r="C142" s="76" t="s">
        <v>261</v>
      </c>
      <c r="D142" s="1252">
        <v>-13.177296419999999</v>
      </c>
      <c r="E142" s="1252">
        <v>0</v>
      </c>
      <c r="F142" s="1252">
        <v>0</v>
      </c>
      <c r="G142" s="1252">
        <v>0</v>
      </c>
      <c r="H142" s="1253">
        <v>0</v>
      </c>
    </row>
    <row r="143" spans="1:8">
      <c r="A143" s="3"/>
      <c r="B143" s="1242" t="s">
        <v>381</v>
      </c>
      <c r="C143" s="76" t="s">
        <v>261</v>
      </c>
      <c r="D143" s="1252">
        <v>-0.44962628999999998</v>
      </c>
      <c r="E143" s="1252">
        <v>0</v>
      </c>
      <c r="F143" s="1252">
        <v>0</v>
      </c>
      <c r="G143" s="1252">
        <v>0</v>
      </c>
      <c r="H143" s="1253">
        <v>0</v>
      </c>
    </row>
    <row r="144" spans="1:8">
      <c r="A144" s="3"/>
      <c r="B144" s="1242" t="s">
        <v>382</v>
      </c>
      <c r="C144" s="76" t="s">
        <v>261</v>
      </c>
      <c r="D144" s="1252">
        <v>-1.7199499066686967</v>
      </c>
      <c r="E144" s="1252">
        <v>0</v>
      </c>
      <c r="F144" s="1252">
        <v>0</v>
      </c>
      <c r="G144" s="1252">
        <v>0</v>
      </c>
      <c r="H144" s="1253">
        <v>0</v>
      </c>
    </row>
    <row r="145" spans="1:16" ht="14" thickBot="1">
      <c r="A145" s="3"/>
      <c r="B145" s="1243" t="s">
        <v>383</v>
      </c>
      <c r="C145" s="1244" t="s">
        <v>261</v>
      </c>
      <c r="D145" s="1254">
        <v>-0.27477699999999999</v>
      </c>
      <c r="E145" s="1254">
        <v>0</v>
      </c>
      <c r="F145" s="1254">
        <v>0</v>
      </c>
      <c r="G145" s="1254">
        <v>0</v>
      </c>
      <c r="H145" s="1245">
        <v>0</v>
      </c>
    </row>
    <row r="146" spans="1:16" ht="18.649999999999999" customHeight="1">
      <c r="A146" s="3"/>
      <c r="B146" s="2" t="s">
        <v>384</v>
      </c>
      <c r="C146" s="76" t="s">
        <v>261</v>
      </c>
      <c r="D146" s="1240">
        <f>SUM(D132:D145)</f>
        <v>-497.18913092669567</v>
      </c>
      <c r="E146" s="1240">
        <f t="shared" ref="E146:H146" si="52">SUM(E132:E138)</f>
        <v>0</v>
      </c>
      <c r="F146" s="1240">
        <f t="shared" si="52"/>
        <v>0</v>
      </c>
      <c r="G146" s="1240">
        <f t="shared" si="52"/>
        <v>0</v>
      </c>
      <c r="H146" s="1240">
        <f t="shared" si="52"/>
        <v>0</v>
      </c>
    </row>
    <row r="147" spans="1:16">
      <c r="A147" s="3"/>
      <c r="B147" s="1050" t="s">
        <v>385</v>
      </c>
      <c r="C147" s="5"/>
      <c r="D147" s="5"/>
      <c r="E147" s="5"/>
      <c r="F147" s="5"/>
      <c r="G147" s="5"/>
      <c r="H147" s="5"/>
    </row>
    <row r="148" spans="1:16">
      <c r="A148" s="3">
        <v>8</v>
      </c>
      <c r="B148" s="721" t="s">
        <v>372</v>
      </c>
      <c r="C148" s="76" t="s">
        <v>261</v>
      </c>
      <c r="D148" s="430">
        <v>-7.0273700000000003</v>
      </c>
      <c r="E148" s="430">
        <v>0</v>
      </c>
      <c r="F148" s="430">
        <v>0</v>
      </c>
      <c r="G148" s="430">
        <v>0</v>
      </c>
      <c r="H148" s="430">
        <v>0</v>
      </c>
    </row>
    <row r="149" spans="1:16">
      <c r="A149" s="3">
        <v>9</v>
      </c>
      <c r="B149" s="721" t="s">
        <v>386</v>
      </c>
      <c r="C149" s="76" t="s">
        <v>261</v>
      </c>
      <c r="D149" s="430">
        <v>-7.3179496949210447</v>
      </c>
      <c r="E149" s="430">
        <v>0</v>
      </c>
      <c r="F149" s="430">
        <v>0</v>
      </c>
      <c r="G149" s="430">
        <v>0</v>
      </c>
      <c r="H149" s="430">
        <v>0</v>
      </c>
    </row>
    <row r="150" spans="1:16">
      <c r="A150" s="3">
        <v>10</v>
      </c>
      <c r="B150" s="721" t="s">
        <v>387</v>
      </c>
      <c r="C150" s="76" t="s">
        <v>261</v>
      </c>
      <c r="D150" s="430">
        <v>-21.797487749296014</v>
      </c>
      <c r="E150" s="430">
        <v>0</v>
      </c>
      <c r="F150" s="430">
        <v>0</v>
      </c>
      <c r="G150" s="430">
        <v>0</v>
      </c>
      <c r="H150" s="430">
        <v>0</v>
      </c>
    </row>
    <row r="151" spans="1:16">
      <c r="A151" s="3">
        <v>11</v>
      </c>
      <c r="B151" s="721" t="s">
        <v>371</v>
      </c>
      <c r="C151" s="76" t="s">
        <v>261</v>
      </c>
      <c r="D151" s="430">
        <v>3.2235800713526426</v>
      </c>
      <c r="E151" s="430">
        <v>0</v>
      </c>
      <c r="F151" s="430">
        <v>0</v>
      </c>
      <c r="G151" s="430">
        <v>0</v>
      </c>
      <c r="H151" s="430">
        <v>0</v>
      </c>
      <c r="O151"/>
      <c r="P151"/>
    </row>
    <row r="152" spans="1:16">
      <c r="A152" s="3">
        <v>12</v>
      </c>
      <c r="B152" s="721" t="s">
        <v>287</v>
      </c>
      <c r="C152" s="76" t="s">
        <v>261</v>
      </c>
      <c r="D152" s="430">
        <v>0</v>
      </c>
      <c r="E152" s="430">
        <v>0</v>
      </c>
      <c r="F152" s="430">
        <v>0</v>
      </c>
      <c r="G152" s="430">
        <v>0</v>
      </c>
      <c r="H152" s="430">
        <v>0</v>
      </c>
      <c r="O152"/>
      <c r="P152"/>
    </row>
    <row r="153" spans="1:16" ht="14" thickBot="1">
      <c r="A153" s="3">
        <v>13</v>
      </c>
      <c r="B153" s="721" t="s">
        <v>287</v>
      </c>
      <c r="C153" s="76" t="s">
        <v>261</v>
      </c>
      <c r="D153" s="430">
        <v>0</v>
      </c>
      <c r="E153" s="430">
        <v>0</v>
      </c>
      <c r="F153" s="430">
        <v>0</v>
      </c>
      <c r="G153" s="430">
        <v>0</v>
      </c>
      <c r="H153" s="430">
        <v>0</v>
      </c>
      <c r="O153"/>
      <c r="P153"/>
    </row>
    <row r="154" spans="1:16" ht="14" thickBot="1">
      <c r="A154" s="3">
        <v>14</v>
      </c>
      <c r="B154" s="1276" t="s">
        <v>279</v>
      </c>
      <c r="C154" s="76" t="s">
        <v>261</v>
      </c>
      <c r="D154" s="430">
        <v>0</v>
      </c>
      <c r="E154" s="430">
        <v>0</v>
      </c>
      <c r="F154" s="430">
        <v>0</v>
      </c>
      <c r="G154" s="430">
        <v>0</v>
      </c>
      <c r="H154" s="430">
        <v>0</v>
      </c>
      <c r="O154"/>
      <c r="P154"/>
    </row>
    <row r="155" spans="1:16" ht="19.5" customHeight="1">
      <c r="A155" s="3"/>
      <c r="B155" s="2" t="s">
        <v>384</v>
      </c>
      <c r="C155" s="76" t="s">
        <v>261</v>
      </c>
      <c r="D155" s="1036">
        <f>SUM(D148:D154)</f>
        <v>-32.919227372864412</v>
      </c>
      <c r="E155" s="1036">
        <f t="shared" ref="E155:H155" si="53">SUM(E148:E154)</f>
        <v>0</v>
      </c>
      <c r="F155" s="1036">
        <f t="shared" si="53"/>
        <v>0</v>
      </c>
      <c r="G155" s="1036">
        <f t="shared" si="53"/>
        <v>0</v>
      </c>
      <c r="H155" s="1036">
        <f t="shared" si="53"/>
        <v>0</v>
      </c>
      <c r="O155"/>
      <c r="P155"/>
    </row>
    <row r="156" spans="1:16" ht="17.899999999999999" customHeight="1">
      <c r="B156" s="5" t="s">
        <v>388</v>
      </c>
      <c r="C156" s="76" t="s">
        <v>261</v>
      </c>
      <c r="D156" s="1036">
        <f>D146+D155</f>
        <v>-530.10835829956011</v>
      </c>
      <c r="E156" s="1036">
        <f t="shared" ref="E156:H156" si="54">E146+E155</f>
        <v>0</v>
      </c>
      <c r="F156" s="1036">
        <f t="shared" si="54"/>
        <v>0</v>
      </c>
      <c r="G156" s="1036">
        <f t="shared" si="54"/>
        <v>0</v>
      </c>
      <c r="H156" s="1036">
        <f t="shared" si="54"/>
        <v>0</v>
      </c>
      <c r="O156"/>
      <c r="P156"/>
    </row>
    <row r="157" spans="1:16">
      <c r="B157" s="2"/>
      <c r="D157" s="30"/>
      <c r="E157" s="30"/>
      <c r="F157" s="30"/>
      <c r="G157" s="30"/>
      <c r="H157" s="30"/>
      <c r="O157"/>
      <c r="P157"/>
    </row>
    <row r="158" spans="1:16">
      <c r="B158" s="5" t="s">
        <v>389</v>
      </c>
      <c r="C158" s="76" t="s">
        <v>261</v>
      </c>
      <c r="D158" s="1036">
        <f>D156+D128</f>
        <v>1564.2514508607696</v>
      </c>
      <c r="E158" s="1036">
        <f>E156+E128</f>
        <v>0</v>
      </c>
      <c r="F158" s="1036">
        <f>F156+F128</f>
        <v>0</v>
      </c>
      <c r="G158" s="1036">
        <f>G156+G128</f>
        <v>0</v>
      </c>
      <c r="H158" s="1036">
        <f>H156+H128</f>
        <v>0</v>
      </c>
      <c r="O158" s="696"/>
      <c r="P158"/>
    </row>
    <row r="159" spans="1:16">
      <c r="B159" s="2" t="s">
        <v>390</v>
      </c>
      <c r="C159" s="76" t="s">
        <v>23</v>
      </c>
      <c r="D159" s="1054">
        <v>1441.994100634543</v>
      </c>
      <c r="E159" s="1054"/>
      <c r="F159" s="1054"/>
      <c r="G159" s="1054"/>
      <c r="H159" s="1054"/>
      <c r="I159" s="2" t="s">
        <v>391</v>
      </c>
      <c r="O159"/>
      <c r="P159"/>
    </row>
    <row r="160" spans="1:16">
      <c r="B160" s="2" t="s">
        <v>392</v>
      </c>
      <c r="C160" s="76" t="s">
        <v>261</v>
      </c>
      <c r="D160" s="1054"/>
      <c r="E160" s="1054"/>
      <c r="F160" s="1054"/>
      <c r="G160" s="1054"/>
      <c r="H160" s="1054"/>
      <c r="I160" s="2" t="s">
        <v>391</v>
      </c>
    </row>
    <row r="161" spans="1:16">
      <c r="B161" s="2" t="s">
        <v>393</v>
      </c>
      <c r="C161" s="76" t="s">
        <v>261</v>
      </c>
      <c r="D161" s="1006">
        <f>IF(A2="ESO",D160,D159*INDEX(real_to_nominal_CF,MATCH(D6,calendar_year,0)))</f>
        <v>1564.2514510549215</v>
      </c>
      <c r="E161" s="1006">
        <f>IF(B2="ESO",E160,E159*INDEX(real_to_nominal_CF,MATCH(E6,calendar_year,0)))</f>
        <v>0</v>
      </c>
      <c r="F161" s="1006">
        <f>IF(C2="ESO",F160,F159*INDEX(real_to_nominal_CF,MATCH(F6,calendar_year,0)))</f>
        <v>0</v>
      </c>
      <c r="G161" s="1006">
        <f>IF(D2="ESO",G160,G159*INDEX(real_to_nominal_CF,MATCH(G6,calendar_year,0)))</f>
        <v>0</v>
      </c>
      <c r="H161" s="1006">
        <f>IF(E2="ESO",H160,H159*INDEX(real_to_nominal_CF,MATCH(H6,calendar_year,0)))</f>
        <v>0</v>
      </c>
      <c r="I161"/>
      <c r="O161"/>
      <c r="P161"/>
    </row>
    <row r="162" spans="1:16">
      <c r="B162" s="2"/>
      <c r="C162" s="70" t="s">
        <v>394</v>
      </c>
      <c r="D162" s="436" t="str">
        <f>IF(D$108="Actuals",IF(ABS(D158-D161)&lt;materiality_threshold,"OK","ERROR"),"N/A")</f>
        <v>OK</v>
      </c>
      <c r="E162" s="436" t="str">
        <f>IF(E$108="Actuals",IF(ABS(E158-E161)&lt;materiality_threshold,"OK","ERROR"),"N/A")</f>
        <v>N/A</v>
      </c>
      <c r="F162" s="436" t="str">
        <f>IF(F$108="Actuals",IF(ABS(F158-F161)&lt;materiality_threshold,"OK","ERROR"),"N/A")</f>
        <v>N/A</v>
      </c>
      <c r="G162" s="436" t="str">
        <f>IF(G$108="Actuals",IF(ABS(G158-G161)&lt;materiality_threshold,"OK","ERROR"),"N/A")</f>
        <v>N/A</v>
      </c>
      <c r="H162" s="436" t="str">
        <f>IF(H$108="Actuals",IF(ABS(H158-H161)&lt;materiality_threshold,"OK","ERROR"),"N/A")</f>
        <v>N/A</v>
      </c>
      <c r="O162"/>
      <c r="P162"/>
    </row>
    <row r="163" spans="1:16">
      <c r="B163" s="2" t="s">
        <v>158</v>
      </c>
      <c r="O163"/>
      <c r="P163"/>
    </row>
    <row r="164" spans="1:16">
      <c r="B164" s="5" t="s">
        <v>395</v>
      </c>
      <c r="C164" s="76"/>
    </row>
    <row r="165" spans="1:16">
      <c r="A165" s="3">
        <v>1</v>
      </c>
      <c r="B165" s="721" t="s">
        <v>396</v>
      </c>
      <c r="C165" s="76" t="s">
        <v>261</v>
      </c>
      <c r="D165" s="430">
        <v>24.110924930000028</v>
      </c>
      <c r="E165" s="430">
        <v>0</v>
      </c>
      <c r="F165" s="430">
        <v>0</v>
      </c>
      <c r="G165" s="430">
        <v>0</v>
      </c>
      <c r="H165" s="430">
        <v>0</v>
      </c>
    </row>
    <row r="166" spans="1:16">
      <c r="A166" s="3">
        <v>2</v>
      </c>
      <c r="B166" s="721" t="s">
        <v>397</v>
      </c>
      <c r="C166" s="76" t="s">
        <v>261</v>
      </c>
      <c r="D166" s="430">
        <v>157.22594120219605</v>
      </c>
      <c r="E166" s="430">
        <v>0</v>
      </c>
      <c r="F166" s="430">
        <v>0</v>
      </c>
      <c r="G166" s="430">
        <v>0</v>
      </c>
      <c r="H166" s="430">
        <v>0</v>
      </c>
    </row>
    <row r="167" spans="1:16">
      <c r="A167" s="3">
        <v>3</v>
      </c>
      <c r="B167" s="721" t="s">
        <v>398</v>
      </c>
      <c r="C167" s="76" t="s">
        <v>261</v>
      </c>
      <c r="D167" s="430">
        <v>3.2707570000000001</v>
      </c>
      <c r="E167" s="430">
        <v>0</v>
      </c>
      <c r="F167" s="430">
        <v>0</v>
      </c>
      <c r="G167" s="430">
        <v>0</v>
      </c>
      <c r="H167" s="430">
        <v>0</v>
      </c>
    </row>
    <row r="168" spans="1:16">
      <c r="A168" s="3">
        <v>4</v>
      </c>
      <c r="B168" s="721" t="s">
        <v>287</v>
      </c>
      <c r="C168" s="76" t="s">
        <v>261</v>
      </c>
      <c r="D168" s="430">
        <v>0</v>
      </c>
      <c r="E168" s="430">
        <v>0</v>
      </c>
      <c r="F168" s="430">
        <v>0</v>
      </c>
      <c r="G168" s="430">
        <v>0</v>
      </c>
      <c r="H168" s="430">
        <v>0</v>
      </c>
    </row>
    <row r="169" spans="1:16">
      <c r="A169" s="3">
        <v>5</v>
      </c>
      <c r="B169" s="721" t="s">
        <v>287</v>
      </c>
      <c r="C169" s="76" t="s">
        <v>261</v>
      </c>
      <c r="D169" s="430">
        <v>0</v>
      </c>
      <c r="E169" s="430">
        <v>0</v>
      </c>
      <c r="F169" s="430">
        <v>0</v>
      </c>
      <c r="G169" s="430">
        <v>0</v>
      </c>
      <c r="H169" s="430">
        <v>0</v>
      </c>
    </row>
    <row r="170" spans="1:16">
      <c r="A170" s="3">
        <v>6</v>
      </c>
      <c r="B170" s="721" t="s">
        <v>287</v>
      </c>
      <c r="C170" s="76" t="s">
        <v>261</v>
      </c>
      <c r="D170" s="430">
        <v>0</v>
      </c>
      <c r="E170" s="430">
        <v>0</v>
      </c>
      <c r="F170" s="430">
        <v>0</v>
      </c>
      <c r="G170" s="430">
        <v>0</v>
      </c>
      <c r="H170" s="430">
        <v>0</v>
      </c>
    </row>
    <row r="171" spans="1:16">
      <c r="A171" s="3">
        <v>7</v>
      </c>
      <c r="B171" s="721" t="s">
        <v>287</v>
      </c>
      <c r="C171" s="76" t="s">
        <v>261</v>
      </c>
      <c r="D171" s="430">
        <v>0</v>
      </c>
      <c r="E171" s="430">
        <v>0</v>
      </c>
      <c r="F171" s="430">
        <v>0</v>
      </c>
      <c r="G171" s="430">
        <v>0</v>
      </c>
      <c r="H171" s="430">
        <v>0</v>
      </c>
    </row>
    <row r="172" spans="1:16">
      <c r="A172" s="3">
        <v>8</v>
      </c>
      <c r="B172" s="721" t="s">
        <v>287</v>
      </c>
      <c r="C172" s="76" t="s">
        <v>261</v>
      </c>
      <c r="D172" s="430">
        <v>0</v>
      </c>
      <c r="E172" s="430">
        <v>0</v>
      </c>
      <c r="F172" s="430">
        <v>0</v>
      </c>
      <c r="G172" s="430">
        <v>0</v>
      </c>
      <c r="H172" s="430">
        <v>0</v>
      </c>
    </row>
    <row r="173" spans="1:16">
      <c r="A173" s="3">
        <v>9</v>
      </c>
      <c r="B173" s="721" t="s">
        <v>287</v>
      </c>
      <c r="C173" s="76" t="s">
        <v>261</v>
      </c>
      <c r="D173" s="430">
        <v>0</v>
      </c>
      <c r="E173" s="430">
        <v>0</v>
      </c>
      <c r="F173" s="430">
        <v>0</v>
      </c>
      <c r="G173" s="430">
        <v>0</v>
      </c>
      <c r="H173" s="430">
        <v>0</v>
      </c>
    </row>
    <row r="174" spans="1:16">
      <c r="A174" s="3">
        <v>10</v>
      </c>
      <c r="B174" s="721" t="s">
        <v>287</v>
      </c>
      <c r="C174" s="76" t="s">
        <v>261</v>
      </c>
      <c r="D174" s="430">
        <v>0</v>
      </c>
      <c r="E174" s="430">
        <v>0</v>
      </c>
      <c r="F174" s="430">
        <v>0</v>
      </c>
      <c r="G174" s="430">
        <v>0</v>
      </c>
      <c r="H174" s="430">
        <v>0</v>
      </c>
    </row>
    <row r="175" spans="1:16">
      <c r="A175" s="3">
        <v>11</v>
      </c>
      <c r="B175" s="721" t="s">
        <v>287</v>
      </c>
      <c r="C175" s="76" t="s">
        <v>261</v>
      </c>
      <c r="D175" s="430">
        <v>0</v>
      </c>
      <c r="E175" s="430">
        <v>0</v>
      </c>
      <c r="F175" s="430">
        <v>0</v>
      </c>
      <c r="G175" s="430">
        <v>0</v>
      </c>
      <c r="H175" s="430">
        <v>0</v>
      </c>
    </row>
    <row r="176" spans="1:16">
      <c r="A176" s="3">
        <v>12</v>
      </c>
      <c r="B176" s="721" t="s">
        <v>287</v>
      </c>
      <c r="C176" s="76" t="s">
        <v>261</v>
      </c>
      <c r="D176" s="430">
        <v>0</v>
      </c>
      <c r="E176" s="430">
        <v>0</v>
      </c>
      <c r="F176" s="430">
        <v>0</v>
      </c>
      <c r="G176" s="430">
        <v>0</v>
      </c>
      <c r="H176" s="430">
        <v>0</v>
      </c>
    </row>
    <row r="177" spans="1:16">
      <c r="A177" s="3">
        <v>13</v>
      </c>
      <c r="B177" s="721" t="s">
        <v>287</v>
      </c>
      <c r="C177" s="76" t="s">
        <v>261</v>
      </c>
      <c r="D177" s="430">
        <v>0</v>
      </c>
      <c r="E177" s="430">
        <v>0</v>
      </c>
      <c r="F177" s="430">
        <v>0</v>
      </c>
      <c r="G177" s="430">
        <v>0</v>
      </c>
      <c r="H177" s="430">
        <v>0</v>
      </c>
    </row>
    <row r="178" spans="1:16">
      <c r="A178" s="3">
        <v>14</v>
      </c>
      <c r="B178" s="721" t="s">
        <v>287</v>
      </c>
      <c r="C178" s="76" t="s">
        <v>261</v>
      </c>
      <c r="D178" s="430">
        <v>0</v>
      </c>
      <c r="E178" s="430">
        <v>0</v>
      </c>
      <c r="F178" s="430">
        <v>0</v>
      </c>
      <c r="G178" s="430">
        <v>0</v>
      </c>
      <c r="H178" s="430">
        <v>0</v>
      </c>
      <c r="O178"/>
      <c r="P178"/>
    </row>
    <row r="179" spans="1:16">
      <c r="A179" s="3">
        <v>15</v>
      </c>
      <c r="B179" s="721" t="s">
        <v>287</v>
      </c>
      <c r="C179" s="76" t="s">
        <v>261</v>
      </c>
      <c r="D179" s="430">
        <v>0</v>
      </c>
      <c r="E179" s="430">
        <v>0</v>
      </c>
      <c r="F179" s="430">
        <v>0</v>
      </c>
      <c r="G179" s="430">
        <v>0</v>
      </c>
      <c r="H179" s="430">
        <v>0</v>
      </c>
      <c r="O179"/>
      <c r="P179"/>
    </row>
    <row r="180" spans="1:16">
      <c r="A180" s="3">
        <v>16</v>
      </c>
      <c r="B180" s="721" t="s">
        <v>287</v>
      </c>
      <c r="C180" s="76" t="s">
        <v>261</v>
      </c>
      <c r="D180" s="430">
        <v>0</v>
      </c>
      <c r="E180" s="430">
        <v>0</v>
      </c>
      <c r="F180" s="430">
        <v>0</v>
      </c>
      <c r="G180" s="430">
        <v>0</v>
      </c>
      <c r="H180" s="430">
        <v>0</v>
      </c>
      <c r="O180"/>
      <c r="P180"/>
    </row>
    <row r="181" spans="1:16">
      <c r="A181" s="3">
        <v>17</v>
      </c>
      <c r="B181" s="721" t="s">
        <v>287</v>
      </c>
      <c r="C181" s="76" t="s">
        <v>261</v>
      </c>
      <c r="D181" s="430">
        <v>0</v>
      </c>
      <c r="E181" s="430">
        <v>0</v>
      </c>
      <c r="F181" s="430">
        <v>0</v>
      </c>
      <c r="G181" s="430">
        <v>0</v>
      </c>
      <c r="H181" s="430">
        <v>0</v>
      </c>
      <c r="O181"/>
      <c r="P181"/>
    </row>
    <row r="182" spans="1:16">
      <c r="A182" s="3">
        <v>18</v>
      </c>
      <c r="B182" s="721" t="s">
        <v>287</v>
      </c>
      <c r="C182" s="76" t="s">
        <v>261</v>
      </c>
      <c r="D182" s="430">
        <v>0</v>
      </c>
      <c r="E182" s="430">
        <v>0</v>
      </c>
      <c r="F182" s="430">
        <v>0</v>
      </c>
      <c r="G182" s="430">
        <v>0</v>
      </c>
      <c r="H182" s="430">
        <v>0</v>
      </c>
      <c r="O182"/>
      <c r="P182"/>
    </row>
    <row r="183" spans="1:16">
      <c r="A183" s="3">
        <v>19</v>
      </c>
      <c r="B183" s="721" t="s">
        <v>287</v>
      </c>
      <c r="C183" s="76" t="s">
        <v>261</v>
      </c>
      <c r="D183" s="430">
        <v>0</v>
      </c>
      <c r="E183" s="430">
        <v>0</v>
      </c>
      <c r="F183" s="430">
        <v>0</v>
      </c>
      <c r="G183" s="430">
        <v>0</v>
      </c>
      <c r="H183" s="430">
        <v>0</v>
      </c>
      <c r="O183"/>
      <c r="P183"/>
    </row>
    <row r="184" spans="1:16">
      <c r="A184" s="3">
        <v>20</v>
      </c>
      <c r="B184" s="721" t="s">
        <v>287</v>
      </c>
      <c r="C184" s="76" t="s">
        <v>261</v>
      </c>
      <c r="D184" s="430">
        <v>0</v>
      </c>
      <c r="E184" s="430">
        <v>0</v>
      </c>
      <c r="F184" s="430">
        <v>0</v>
      </c>
      <c r="G184" s="430">
        <v>0</v>
      </c>
      <c r="H184" s="430">
        <v>0</v>
      </c>
      <c r="O184"/>
      <c r="P184"/>
    </row>
    <row r="185" spans="1:16">
      <c r="A185" s="3">
        <v>21</v>
      </c>
      <c r="B185" s="721" t="s">
        <v>287</v>
      </c>
      <c r="C185" s="76" t="s">
        <v>261</v>
      </c>
      <c r="D185" s="430">
        <v>0</v>
      </c>
      <c r="E185" s="430">
        <v>0</v>
      </c>
      <c r="F185" s="430">
        <v>0</v>
      </c>
      <c r="G185" s="430">
        <v>0</v>
      </c>
      <c r="H185" s="430">
        <v>0</v>
      </c>
      <c r="O185"/>
      <c r="P185"/>
    </row>
    <row r="186" spans="1:16">
      <c r="A186" s="3">
        <v>22</v>
      </c>
      <c r="B186" s="721" t="s">
        <v>287</v>
      </c>
      <c r="C186" s="76" t="s">
        <v>261</v>
      </c>
      <c r="D186" s="430">
        <v>0</v>
      </c>
      <c r="E186" s="430">
        <v>0</v>
      </c>
      <c r="F186" s="430">
        <v>0</v>
      </c>
      <c r="G186" s="430">
        <v>0</v>
      </c>
      <c r="H186" s="430">
        <v>0</v>
      </c>
      <c r="O186"/>
      <c r="P186"/>
    </row>
    <row r="187" spans="1:16">
      <c r="A187" s="3">
        <v>23</v>
      </c>
      <c r="B187" s="721" t="s">
        <v>287</v>
      </c>
      <c r="C187" s="76" t="s">
        <v>261</v>
      </c>
      <c r="D187" s="430">
        <v>0</v>
      </c>
      <c r="E187" s="430">
        <v>0</v>
      </c>
      <c r="F187" s="430">
        <v>0</v>
      </c>
      <c r="G187" s="430">
        <v>0</v>
      </c>
      <c r="H187" s="430">
        <v>0</v>
      </c>
      <c r="O187"/>
      <c r="P187"/>
    </row>
    <row r="188" spans="1:16">
      <c r="A188" s="3">
        <v>24</v>
      </c>
      <c r="B188" s="721" t="s">
        <v>287</v>
      </c>
      <c r="C188" s="76" t="s">
        <v>261</v>
      </c>
      <c r="D188" s="430">
        <v>0</v>
      </c>
      <c r="E188" s="430">
        <v>0</v>
      </c>
      <c r="F188" s="430">
        <v>0</v>
      </c>
      <c r="G188" s="430">
        <v>0</v>
      </c>
      <c r="H188" s="430">
        <v>0</v>
      </c>
      <c r="O188" s="696"/>
      <c r="P188"/>
    </row>
    <row r="189" spans="1:16" ht="14" thickBot="1">
      <c r="A189" s="3">
        <v>25</v>
      </c>
      <c r="B189" s="721" t="s">
        <v>287</v>
      </c>
      <c r="C189" s="76" t="s">
        <v>261</v>
      </c>
      <c r="D189" s="1239">
        <v>0</v>
      </c>
      <c r="E189" s="1239">
        <v>0</v>
      </c>
      <c r="F189" s="1239">
        <v>0</v>
      </c>
      <c r="G189" s="1239">
        <v>0</v>
      </c>
      <c r="H189" s="1239">
        <v>0</v>
      </c>
      <c r="O189"/>
      <c r="P189"/>
    </row>
    <row r="190" spans="1:16" ht="14" thickBot="1">
      <c r="B190" s="5" t="s">
        <v>399</v>
      </c>
      <c r="C190" s="76" t="s">
        <v>261</v>
      </c>
      <c r="D190" s="1306">
        <f>SUM(D165:D189)</f>
        <v>184.6076231321961</v>
      </c>
      <c r="E190" s="1307">
        <f t="shared" ref="E190:H190" si="55">SUM(E165:E189)</f>
        <v>0</v>
      </c>
      <c r="F190" s="1307">
        <f t="shared" si="55"/>
        <v>0</v>
      </c>
      <c r="G190" s="1307">
        <f t="shared" si="55"/>
        <v>0</v>
      </c>
      <c r="H190" s="1308">
        <f t="shared" si="55"/>
        <v>0</v>
      </c>
      <c r="O190"/>
      <c r="P190"/>
    </row>
    <row r="191" spans="1:16" ht="14" thickBot="1">
      <c r="B191" s="2"/>
      <c r="D191" s="70"/>
      <c r="E191" s="70"/>
      <c r="F191" s="70"/>
      <c r="G191" s="70"/>
      <c r="H191" s="70"/>
      <c r="I191" s="70"/>
      <c r="J191" s="70"/>
      <c r="O191"/>
      <c r="P191"/>
    </row>
    <row r="192" spans="1:16" ht="14" thickBot="1">
      <c r="B192" s="5" t="s">
        <v>400</v>
      </c>
      <c r="C192" s="76" t="s">
        <v>261</v>
      </c>
      <c r="D192" s="1312">
        <f>D158-D190</f>
        <v>1379.6438277285736</v>
      </c>
      <c r="E192" s="1313">
        <f t="shared" ref="E192:H192" si="56">E158-E190</f>
        <v>0</v>
      </c>
      <c r="F192" s="1313">
        <f t="shared" si="56"/>
        <v>0</v>
      </c>
      <c r="G192" s="1313">
        <f t="shared" si="56"/>
        <v>0</v>
      </c>
      <c r="H192" s="1314">
        <f t="shared" si="56"/>
        <v>0</v>
      </c>
    </row>
    <row r="193" spans="2:16" ht="14" thickBot="1">
      <c r="B193" s="5" t="s">
        <v>401</v>
      </c>
      <c r="C193" s="76" t="s">
        <v>261</v>
      </c>
      <c r="D193" s="1309">
        <v>1379.6438279227254</v>
      </c>
      <c r="E193" s="1310">
        <v>1963.6712431854687</v>
      </c>
      <c r="F193" s="1310">
        <v>1968.6474535520322</v>
      </c>
      <c r="G193" s="1310">
        <v>1822.3315628583855</v>
      </c>
      <c r="H193" s="1311">
        <v>1978.9188831904821</v>
      </c>
      <c r="I193" s="2" t="s">
        <v>402</v>
      </c>
    </row>
    <row r="194" spans="2:16">
      <c r="B194" s="2"/>
      <c r="C194" s="70" t="s">
        <v>394</v>
      </c>
      <c r="D194" s="423" t="str">
        <f>IF(D$108="Actuals",IF(ABS(D190-('R3 - Totex - Reconciliation'!D13+'R3 - Totex - Reconciliation'!D47+D76)*INDEX(real_to_nominal_CF,MATCH(D6,Data!$E$25:$L$25,0)))&lt;materiality_threshold,"OK","Error"),"N/A")</f>
        <v>Error</v>
      </c>
      <c r="E194" s="423" t="str">
        <f>IF(E$108="Actuals",IF(ABS(E190-('R3 - Totex - Reconciliation'!E13+'R3 - Totex - Reconciliation'!E47+E76)*INDEX(real_to_nominal_CF,MATCH(E6,Data!$E$25:$L$25,0)))&lt;materiality_threshold,"OK","Error"),"N/A")</f>
        <v>N/A</v>
      </c>
      <c r="F194" s="423" t="str">
        <f>IF(F$108="Actuals",IF(ABS(F190-('R3 - Totex - Reconciliation'!F13+'R3 - Totex - Reconciliation'!F47+F76)*INDEX(real_to_nominal_CF,MATCH(F6,Data!$E$25:$L$25,0)))&lt;materiality_threshold,"OK","Error"),"N/A")</f>
        <v>N/A</v>
      </c>
      <c r="G194" s="423" t="str">
        <f>IF(G$108="Actuals",IF(ABS(G190-('R3 - Totex - Reconciliation'!G13+'R3 - Totex - Reconciliation'!G47+G76)*INDEX(real_to_nominal_CF,MATCH(G6,Data!$E$25:$L$25,0)))&lt;materiality_threshold,"OK","Error"),"N/A")</f>
        <v>N/A</v>
      </c>
      <c r="H194" s="423" t="str">
        <f>IF(H$108="Actuals",IF(ABS(H190-('R3 - Totex - Reconciliation'!H13+'R3 - Totex - Reconciliation'!H47+H76)*INDEX(real_to_nominal_CF,MATCH(H6,Data!$E$25:$L$25,0)))&lt;materiality_threshold,"OK","Error"),"N/A")</f>
        <v>N/A</v>
      </c>
    </row>
    <row r="195" spans="2:16">
      <c r="B195" s="2"/>
      <c r="C195" s="2"/>
      <c r="D195" s="1227"/>
    </row>
    <row r="196" spans="2:16">
      <c r="B196" s="696" t="s">
        <v>403</v>
      </c>
    </row>
    <row r="198" spans="2:16">
      <c r="B198" s="6" t="s">
        <v>320</v>
      </c>
      <c r="C198"/>
      <c r="D198" s="1225"/>
      <c r="E198"/>
      <c r="F198"/>
    </row>
    <row r="199" spans="2:16">
      <c r="B199" s="1381"/>
      <c r="C199" s="1382"/>
      <c r="D199" s="1382"/>
      <c r="E199" s="1382"/>
      <c r="F199" s="1383"/>
    </row>
    <row r="200" spans="2:16">
      <c r="B200" s="707" t="s">
        <v>404</v>
      </c>
      <c r="C200" s="708"/>
      <c r="D200" s="709"/>
      <c r="E200" s="683"/>
      <c r="F200" s="710"/>
    </row>
    <row r="201" spans="2:16">
      <c r="B201" s="707"/>
      <c r="C201" s="708"/>
      <c r="D201" s="709"/>
      <c r="E201" s="683"/>
      <c r="F201" s="710"/>
    </row>
    <row r="202" spans="2:16">
      <c r="B202" s="707"/>
      <c r="C202" s="708"/>
      <c r="D202" s="709"/>
      <c r="E202" s="683"/>
      <c r="F202" s="710"/>
    </row>
    <row r="203" spans="2:16">
      <c r="B203" s="707"/>
      <c r="C203" s="708"/>
      <c r="D203" s="709"/>
      <c r="E203" s="683"/>
      <c r="F203" s="710"/>
      <c r="O203"/>
      <c r="P203"/>
    </row>
    <row r="204" spans="2:16">
      <c r="B204" s="711"/>
      <c r="C204" s="968"/>
      <c r="D204" s="969"/>
      <c r="E204" s="970"/>
      <c r="F204" s="712"/>
    </row>
    <row r="205" spans="2:16">
      <c r="D205" s="1255"/>
    </row>
    <row r="206" spans="2:16">
      <c r="D206" s="1255"/>
    </row>
    <row r="207" spans="2:16">
      <c r="D207" s="1255"/>
    </row>
    <row r="208" spans="2:16">
      <c r="D208" s="1255"/>
    </row>
    <row r="211" spans="4:4">
      <c r="D211" s="1227"/>
    </row>
    <row r="221" spans="4:4" s="2" customFormat="1"/>
    <row r="222" spans="4:4" s="2" customFormat="1"/>
    <row r="223" spans="4:4" s="2" customFormat="1"/>
    <row r="224" spans="4:4" s="2" customFormat="1"/>
    <row r="225" spans="2:3">
      <c r="B225" s="2"/>
      <c r="C225" s="2"/>
    </row>
    <row r="226" spans="2:3">
      <c r="B226" s="2"/>
      <c r="C226" s="2"/>
    </row>
    <row r="227" spans="2:3">
      <c r="B227" s="2"/>
      <c r="C227" s="2"/>
    </row>
    <row r="228" spans="2:3">
      <c r="B228" s="2"/>
      <c r="C228" s="2"/>
    </row>
    <row r="232" spans="2:3" ht="12.75" customHeight="1"/>
    <row r="239" spans="2:3" ht="29.25" customHeight="1"/>
  </sheetData>
  <sheetProtection algorithmName="SHA-512" hashValue="Q5e7LA701eDpGUK6J2a2HIDGal1riTMFcLdHrBCqx9E4jVci9zDP59Vq/IrKYcJOxV6IzTJ/bpp89luqgj/k6g==" saltValue="854Ju13iaQM3NvrqOjRn+w==" spinCount="100000" sheet="1" formatCells="0" formatColumns="0" formatRows="0" insertColumns="0" insertRows="0" insertHyperlinks="0" deleteColumns="0" deleteRows="0" sort="0" autoFilter="0" pivotTables="0"/>
  <mergeCells count="2">
    <mergeCell ref="K15:M15"/>
    <mergeCell ref="B199:F199"/>
  </mergeCells>
  <phoneticPr fontId="265" type="noConversion"/>
  <conditionalFormatting sqref="I5 D5:G6">
    <cfRule type="expression" dxfId="71" priority="71">
      <formula>AND(D$5="Actuals",E$5="Forecast")</formula>
    </cfRule>
  </conditionalFormatting>
  <conditionalFormatting sqref="B97:C97 C45 C74 B73:C73 B46:C54 B75:C84 N73:Q73">
    <cfRule type="expression" dxfId="70" priority="67">
      <formula>$B$45="n/a"</formula>
    </cfRule>
  </conditionalFormatting>
  <conditionalFormatting sqref="D108:G109">
    <cfRule type="expression" dxfId="69" priority="63">
      <formula>AND(D$5="Actuals",E$5="N/A")</formula>
    </cfRule>
  </conditionalFormatting>
  <conditionalFormatting sqref="H5:H6">
    <cfRule type="expression" dxfId="68" priority="272">
      <formula>AND(H$5="Actuals",#REF!="Forecast")</formula>
    </cfRule>
  </conditionalFormatting>
  <conditionalFormatting sqref="H108:H109">
    <cfRule type="expression" dxfId="67" priority="289">
      <formula>AND(H$5="Actuals",#REF!="N/A")</formula>
    </cfRule>
  </conditionalFormatting>
  <conditionalFormatting sqref="D7:H7">
    <cfRule type="expression" dxfId="66" priority="56">
      <formula>AND(D$5="Actuals",E$5="Forecast")</formula>
    </cfRule>
  </conditionalFormatting>
  <conditionalFormatting sqref="D110:H110">
    <cfRule type="expression" dxfId="65" priority="55">
      <formula>AND(D$5="Actuals",E$5="Forecast")</formula>
    </cfRule>
  </conditionalFormatting>
  <conditionalFormatting sqref="D113:H121 D123:H126 D148:H154 D132:H145 D163:H189">
    <cfRule type="expression" dxfId="64" priority="53">
      <formula>D$108="N/A"</formula>
    </cfRule>
  </conditionalFormatting>
  <conditionalFormatting sqref="C23:C29">
    <cfRule type="expression" dxfId="63" priority="52">
      <formula>$B$45="n/a"</formula>
    </cfRule>
  </conditionalFormatting>
  <conditionalFormatting sqref="C57:C58">
    <cfRule type="expression" dxfId="62" priority="51">
      <formula>$B$45="n/a"</formula>
    </cfRule>
  </conditionalFormatting>
  <conditionalFormatting sqref="C30">
    <cfRule type="expression" dxfId="61" priority="50">
      <formula>$B$45="n/a"</formula>
    </cfRule>
  </conditionalFormatting>
  <conditionalFormatting sqref="C59">
    <cfRule type="expression" dxfId="60" priority="49">
      <formula>$B$45="n/a"</formula>
    </cfRule>
  </conditionalFormatting>
  <conditionalFormatting sqref="C86:C87">
    <cfRule type="expression" dxfId="59" priority="48">
      <formula>$B$45="n/a"</formula>
    </cfRule>
  </conditionalFormatting>
  <conditionalFormatting sqref="C88">
    <cfRule type="expression" dxfId="58" priority="47">
      <formula>$B$45="n/a"</formula>
    </cfRule>
  </conditionalFormatting>
  <conditionalFormatting sqref="B40">
    <cfRule type="expression" dxfId="57" priority="46">
      <formula>$B$51="n/a"</formula>
    </cfRule>
  </conditionalFormatting>
  <conditionalFormatting sqref="B69">
    <cfRule type="expression" dxfId="56" priority="45">
      <formula>$B$51="n/a"</formula>
    </cfRule>
  </conditionalFormatting>
  <conditionalFormatting sqref="B93">
    <cfRule type="expression" dxfId="55" priority="44">
      <formula>$B$51="n/a"</formula>
    </cfRule>
  </conditionalFormatting>
  <conditionalFormatting sqref="E122:H122">
    <cfRule type="expression" dxfId="54" priority="43">
      <formula>E$108="N/A"</formula>
    </cfRule>
  </conditionalFormatting>
  <conditionalFormatting sqref="D127:H128">
    <cfRule type="expression" dxfId="53" priority="25">
      <formula>D$108="N/A"</formula>
    </cfRule>
  </conditionalFormatting>
  <conditionalFormatting sqref="D156:H156">
    <cfRule type="expression" dxfId="52" priority="24">
      <formula>D$108="N/A"</formula>
    </cfRule>
  </conditionalFormatting>
  <conditionalFormatting sqref="D158:H158">
    <cfRule type="expression" dxfId="51" priority="23">
      <formula>D$108="N/A"</formula>
    </cfRule>
  </conditionalFormatting>
  <conditionalFormatting sqref="D190:H190">
    <cfRule type="expression" dxfId="50" priority="21">
      <formula>D$108="N/A"</formula>
    </cfRule>
  </conditionalFormatting>
  <conditionalFormatting sqref="D159:H160">
    <cfRule type="expression" dxfId="49" priority="16">
      <formula>D$108="N/A"</formula>
    </cfRule>
  </conditionalFormatting>
  <conditionalFormatting sqref="D146:H146">
    <cfRule type="expression" dxfId="48" priority="11">
      <formula>D$108="N/A"</formula>
    </cfRule>
  </conditionalFormatting>
  <conditionalFormatting sqref="D155:H155">
    <cfRule type="expression" dxfId="47" priority="10">
      <formula>D$108="N/A"</formula>
    </cfRule>
  </conditionalFormatting>
  <conditionalFormatting sqref="C37:C38">
    <cfRule type="expression" dxfId="46" priority="8">
      <formula>$B$44="n/a"</formula>
    </cfRule>
  </conditionalFormatting>
  <conditionalFormatting sqref="C66:C67">
    <cfRule type="expression" dxfId="45" priority="7">
      <formula>$B$44="n/a"</formula>
    </cfRule>
  </conditionalFormatting>
  <conditionalFormatting sqref="C90:C91">
    <cfRule type="expression" dxfId="44" priority="6">
      <formula>$B$44="n/a"</formula>
    </cfRule>
  </conditionalFormatting>
  <conditionalFormatting sqref="C33:C34">
    <cfRule type="expression" dxfId="43" priority="4">
      <formula>$B$45="n/a"</formula>
    </cfRule>
  </conditionalFormatting>
  <conditionalFormatting sqref="C35">
    <cfRule type="expression" dxfId="42" priority="3">
      <formula>$B$45="n/a"</formula>
    </cfRule>
  </conditionalFormatting>
  <conditionalFormatting sqref="C62:C63">
    <cfRule type="expression" dxfId="41" priority="2">
      <formula>$B$45="n/a"</formula>
    </cfRule>
  </conditionalFormatting>
  <conditionalFormatting sqref="C64">
    <cfRule type="expression" dxfId="40" priority="1">
      <formula>$B$45="n/a"</formula>
    </cfRule>
  </conditionalFormatting>
  <pageMargins left="0.70866141732283472" right="0.70866141732283472" top="0.74803149606299213" bottom="0.74803149606299213" header="0.31496062992125984" footer="0.31496062992125984"/>
  <pageSetup paperSize="8" scale="53" orientation="landscape" r:id="rId1"/>
  <headerFooter>
    <oddFooter>&amp;C_x000D_&amp;1#&amp;"Calibri"&amp;10&amp;K000000 OFFICIAL-InternalOnly</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topLeftCell="D1" zoomScale="60" zoomScaleNormal="60" workbookViewId="0">
      <pane ySplit="7" topLeftCell="A59" activePane="bottomLeft" state="frozen"/>
      <selection pane="bottomLeft" activeCell="Q68" sqref="Q68"/>
    </sheetView>
  </sheetViews>
  <sheetFormatPr defaultRowHeight="13.5"/>
  <cols>
    <col min="1" max="1" width="8.3828125" customWidth="1"/>
    <col min="2" max="2" width="71.3828125" bestFit="1" customWidth="1"/>
    <col min="3" max="3" width="13.3828125" style="70" customWidth="1"/>
    <col min="4" max="8" width="11.15234375" customWidth="1"/>
    <col min="9" max="9" width="12.84375" customWidth="1"/>
    <col min="10" max="10" width="12.765625" customWidth="1"/>
    <col min="11" max="11" width="5.765625" bestFit="1" customWidth="1"/>
  </cols>
  <sheetData>
    <row r="1" spans="1:11" ht="20">
      <c r="A1" s="1180" t="s">
        <v>405</v>
      </c>
      <c r="B1" s="759"/>
      <c r="C1" s="760"/>
      <c r="D1" s="761"/>
      <c r="E1" s="761"/>
      <c r="F1" s="761"/>
      <c r="G1" s="761"/>
      <c r="H1" s="761"/>
      <c r="I1" s="753"/>
      <c r="J1" s="753"/>
      <c r="K1" s="1179"/>
    </row>
    <row r="2" spans="1:11" ht="20">
      <c r="A2" s="644" t="str">
        <f>Licensee</f>
        <v>NGET (TO)</v>
      </c>
      <c r="B2" s="648"/>
      <c r="C2" s="77"/>
      <c r="D2" s="20"/>
      <c r="E2" s="20"/>
      <c r="F2" s="20"/>
      <c r="G2" s="20"/>
      <c r="H2" s="20"/>
      <c r="I2" s="15"/>
      <c r="J2" s="15"/>
      <c r="K2" s="66"/>
    </row>
    <row r="3" spans="1:11" ht="20">
      <c r="A3" s="639">
        <f>Reporting_Year</f>
        <v>2022</v>
      </c>
      <c r="B3" s="16" t="str">
        <f>IF(Licensee=Data!$B$81,"not required to be completed","")</f>
        <v/>
      </c>
      <c r="C3" s="973"/>
      <c r="D3" s="974"/>
      <c r="E3" s="974"/>
      <c r="F3" s="974"/>
      <c r="G3" s="974"/>
      <c r="H3" s="974"/>
      <c r="I3" s="964"/>
      <c r="J3" s="964"/>
      <c r="K3" s="120"/>
    </row>
    <row r="4" spans="1:11" s="2" customFormat="1" ht="12.75" customHeight="1">
      <c r="B4" s="3"/>
      <c r="C4" s="70"/>
    </row>
    <row r="5" spans="1:11" s="2" customFormat="1" ht="21.65" customHeight="1">
      <c r="B5" s="3"/>
      <c r="C5" s="70"/>
      <c r="D5" s="249" t="str">
        <f t="shared" ref="D5:I5" si="0">IF(D6&lt;=Reporting_Year,"Actuals","Forecast")</f>
        <v>Actuals</v>
      </c>
      <c r="E5" s="249" t="str">
        <f t="shared" si="0"/>
        <v>Forecast</v>
      </c>
      <c r="F5" s="249" t="str">
        <f t="shared" si="0"/>
        <v>Forecast</v>
      </c>
      <c r="G5" s="249" t="str">
        <f t="shared" si="0"/>
        <v>Forecast</v>
      </c>
      <c r="H5" s="249" t="str">
        <f t="shared" si="0"/>
        <v>Forecast</v>
      </c>
      <c r="I5" s="249" t="str">
        <f t="shared" si="0"/>
        <v>Forecast</v>
      </c>
    </row>
    <row r="6" spans="1:11" s="2" customFormat="1" ht="29.25" customHeight="1">
      <c r="C6" s="70"/>
      <c r="D6" s="63">
        <f>'RFPR cover'!$C$6</f>
        <v>2022</v>
      </c>
      <c r="E6" s="64">
        <f>D6+1</f>
        <v>2023</v>
      </c>
      <c r="F6" s="64">
        <f t="shared" ref="F6:H6" si="1">E6+1</f>
        <v>2024</v>
      </c>
      <c r="G6" s="64">
        <f t="shared" si="1"/>
        <v>2025</v>
      </c>
      <c r="H6" s="64">
        <f t="shared" si="1"/>
        <v>2026</v>
      </c>
      <c r="I6" s="50" t="str">
        <f>"Cumulative to "&amp;'RFPR cover'!$C$9</f>
        <v>Cumulative to 2022</v>
      </c>
      <c r="J6" s="65" t="s">
        <v>222</v>
      </c>
    </row>
    <row r="7" spans="1:11" s="2" customFormat="1">
      <c r="C7" s="70"/>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row>
    <row r="8" spans="1:11" s="2" customFormat="1" ht="17.5">
      <c r="B8" s="837" t="s">
        <v>406</v>
      </c>
      <c r="C8" s="74"/>
      <c r="D8" s="41"/>
      <c r="E8" s="41"/>
      <c r="F8" s="41"/>
      <c r="G8" s="41"/>
      <c r="H8" s="41"/>
      <c r="I8" s="41"/>
      <c r="J8" s="41"/>
      <c r="K8" s="41"/>
    </row>
    <row r="9" spans="1:11" s="2" customFormat="1"/>
    <row r="10" spans="1:11" s="2" customFormat="1"/>
    <row r="11" spans="1:11" s="2" customFormat="1"/>
    <row r="12" spans="1:11" s="2" customFormat="1">
      <c r="A12" s="79" t="s">
        <v>226</v>
      </c>
      <c r="B12" s="5" t="s">
        <v>407</v>
      </c>
      <c r="C12" s="39" t="str">
        <f>Data!$C$9</f>
        <v>£m 18/19</v>
      </c>
      <c r="D12" s="1058">
        <v>-13</v>
      </c>
      <c r="E12" s="1058">
        <v>-13</v>
      </c>
      <c r="F12" s="1058">
        <v>-13</v>
      </c>
      <c r="G12" s="1058">
        <v>-13</v>
      </c>
      <c r="H12" s="1058">
        <v>-13</v>
      </c>
    </row>
    <row r="13" spans="1:11" s="2" customFormat="1" ht="19.5" customHeight="1">
      <c r="A13" s="79"/>
      <c r="B13" s="679" t="s">
        <v>408</v>
      </c>
    </row>
    <row r="14" spans="1:11" s="2" customFormat="1">
      <c r="A14" s="79" t="s">
        <v>227</v>
      </c>
      <c r="B14" s="899" t="str">
        <f>Data!B124</f>
        <v xml:space="preserve">Energy not supplied ODI </v>
      </c>
      <c r="C14" s="39" t="str">
        <f>Data!$C$9</f>
        <v>£m 18/19</v>
      </c>
      <c r="D14" s="975">
        <v>0.83399659199999998</v>
      </c>
      <c r="E14" s="975">
        <v>0.83399659199999998</v>
      </c>
      <c r="F14" s="975">
        <v>0.83399659199999998</v>
      </c>
      <c r="G14" s="975">
        <v>0.83399659199999998</v>
      </c>
      <c r="H14" s="975">
        <v>0.83399659199999998</v>
      </c>
    </row>
    <row r="15" spans="1:11" s="2" customFormat="1">
      <c r="A15" s="79" t="s">
        <v>228</v>
      </c>
      <c r="B15" s="899" t="str">
        <f>Data!B125</f>
        <v xml:space="preserve">Insulation And Interruption Gas emissions ODI </v>
      </c>
      <c r="C15" s="39" t="str">
        <f>Data!$C$9</f>
        <v>£m 18/19</v>
      </c>
      <c r="D15" s="975">
        <v>1.667856016922372</v>
      </c>
      <c r="E15" s="975">
        <v>0.93794510457736513</v>
      </c>
      <c r="F15" s="975">
        <v>0.91410906813772486</v>
      </c>
      <c r="G15" s="975">
        <v>-0.60366398373038688</v>
      </c>
      <c r="H15" s="975">
        <v>-0.41381762393381721</v>
      </c>
    </row>
    <row r="16" spans="1:11" s="2" customFormat="1">
      <c r="A16" s="79" t="s">
        <v>229</v>
      </c>
      <c r="B16" s="899" t="str">
        <f>Data!B126</f>
        <v xml:space="preserve">Timely Connections ODI </v>
      </c>
      <c r="C16" s="39" t="str">
        <f>Data!$C$9</f>
        <v>£m 18/19</v>
      </c>
      <c r="D16" s="975">
        <v>-0.26270833333333332</v>
      </c>
      <c r="E16" s="975">
        <v>-0.26270833333333332</v>
      </c>
      <c r="F16" s="975">
        <v>-0.26270833333333332</v>
      </c>
      <c r="G16" s="975">
        <v>-0.26270833333333332</v>
      </c>
      <c r="H16" s="975">
        <v>-0.26270833333333332</v>
      </c>
    </row>
    <row r="17" spans="1:11" s="2" customFormat="1">
      <c r="A17" s="79" t="s">
        <v>230</v>
      </c>
      <c r="B17" s="899" t="str">
        <f>Data!B127</f>
        <v xml:space="preserve">Quality of connections satisfaction survey ODI </v>
      </c>
      <c r="C17" s="39" t="str">
        <f>Data!$C$9</f>
        <v>£m 18/19</v>
      </c>
      <c r="D17" s="975">
        <v>0.2353260416666656</v>
      </c>
      <c r="E17" s="975">
        <v>0</v>
      </c>
      <c r="F17" s="975">
        <v>0</v>
      </c>
      <c r="G17" s="975">
        <v>0</v>
      </c>
      <c r="H17" s="975">
        <v>0</v>
      </c>
    </row>
    <row r="18" spans="1:11" s="2" customFormat="1">
      <c r="A18" s="79" t="s">
        <v>231</v>
      </c>
      <c r="B18" s="899" t="str">
        <f>Data!B128</f>
        <v>SO-TO Optimisation ODI</v>
      </c>
      <c r="C18" s="39" t="str">
        <f>Data!$C$9</f>
        <v>£m 18/19</v>
      </c>
      <c r="D18" s="975">
        <v>4.9484480000000008</v>
      </c>
      <c r="E18" s="975">
        <v>0</v>
      </c>
      <c r="F18" s="975">
        <v>0</v>
      </c>
      <c r="G18" s="975">
        <v>0</v>
      </c>
      <c r="H18" s="975">
        <v>0</v>
      </c>
    </row>
    <row r="19" spans="1:11" s="2" customFormat="1">
      <c r="A19" s="79" t="s">
        <v>232</v>
      </c>
      <c r="B19" s="899" t="str">
        <f>Data!B129</f>
        <v xml:space="preserve">Environmental scorecard ODI </v>
      </c>
      <c r="C19" s="39" t="str">
        <f>Data!$C$9</f>
        <v>£m 18/19</v>
      </c>
      <c r="D19" s="975">
        <v>0.51351564000000005</v>
      </c>
      <c r="E19" s="975">
        <v>1.1154453750000002</v>
      </c>
      <c r="F19" s="975">
        <v>1.1154631950000002</v>
      </c>
      <c r="G19" s="975">
        <v>1.1160393750000002</v>
      </c>
      <c r="H19" s="975">
        <v>1.1160875549999993</v>
      </c>
    </row>
    <row r="20" spans="1:11" s="2" customFormat="1">
      <c r="B20" s="5" t="s">
        <v>409</v>
      </c>
      <c r="C20" s="78" t="str">
        <f>Data!$C$9</f>
        <v>£m 18/19</v>
      </c>
      <c r="D20" s="433">
        <f>SUM(D14:D19)</f>
        <v>7.936433957255705</v>
      </c>
      <c r="E20" s="433">
        <f>SUM(E14:E19)</f>
        <v>2.624678738244032</v>
      </c>
      <c r="F20" s="433">
        <f>SUM(F14:F19)</f>
        <v>2.6008605218043916</v>
      </c>
      <c r="G20" s="433">
        <f>SUM(G14:G19)</f>
        <v>1.0836636499362799</v>
      </c>
      <c r="H20" s="433">
        <f>SUM(H14:H19)</f>
        <v>1.2735581897328487</v>
      </c>
    </row>
    <row r="21" spans="1:11" s="2" customFormat="1"/>
    <row r="22" spans="1:11" s="418" customFormat="1" ht="14.25" customHeight="1">
      <c r="A22" s="417"/>
    </row>
    <row r="23" spans="1:11" s="2" customFormat="1">
      <c r="A23" s="802"/>
      <c r="B23" s="803" t="s">
        <v>410</v>
      </c>
      <c r="C23" s="804"/>
      <c r="D23" s="804"/>
      <c r="E23" s="804"/>
      <c r="F23" s="804"/>
      <c r="G23" s="804"/>
      <c r="H23" s="804"/>
      <c r="I23" s="804"/>
      <c r="J23" s="804"/>
    </row>
    <row r="24" spans="1:11" s="2" customFormat="1">
      <c r="A24" s="805" t="s">
        <v>226</v>
      </c>
      <c r="B24" s="1384"/>
      <c r="C24" s="1384"/>
      <c r="D24" s="1384"/>
      <c r="E24" s="1384"/>
      <c r="F24" s="1384"/>
      <c r="G24" s="1384"/>
      <c r="H24" s="1384"/>
      <c r="I24" s="1384"/>
      <c r="J24" s="1384"/>
    </row>
    <row r="25" spans="1:11" s="2" customFormat="1">
      <c r="A25" s="805" t="s">
        <v>227</v>
      </c>
      <c r="B25" s="1384"/>
      <c r="C25" s="1384"/>
      <c r="D25" s="1384"/>
      <c r="E25" s="1384"/>
      <c r="F25" s="1384"/>
      <c r="G25" s="1384"/>
      <c r="H25" s="1384"/>
      <c r="I25" s="1384"/>
      <c r="J25" s="1384"/>
    </row>
    <row r="26" spans="1:11" s="2" customFormat="1">
      <c r="A26" s="805" t="s">
        <v>228</v>
      </c>
      <c r="B26" s="1384"/>
      <c r="C26" s="1384"/>
      <c r="D26" s="1384"/>
      <c r="E26" s="1384"/>
      <c r="F26" s="1384"/>
      <c r="G26" s="1384"/>
      <c r="H26" s="1384"/>
      <c r="I26" s="1384"/>
      <c r="J26" s="1384"/>
    </row>
    <row r="27" spans="1:11" s="2" customFormat="1">
      <c r="A27" s="805" t="s">
        <v>229</v>
      </c>
      <c r="B27" s="1384"/>
      <c r="C27" s="1384"/>
      <c r="D27" s="1384"/>
      <c r="E27" s="1384"/>
      <c r="F27" s="1384"/>
      <c r="G27" s="1384"/>
      <c r="H27" s="1384"/>
      <c r="I27" s="1384"/>
      <c r="J27" s="1384"/>
    </row>
    <row r="28" spans="1:11" s="2" customFormat="1">
      <c r="A28" s="805" t="s">
        <v>230</v>
      </c>
      <c r="B28" s="1384"/>
      <c r="C28" s="1384"/>
      <c r="D28" s="1384"/>
      <c r="E28" s="1384"/>
      <c r="F28" s="1384"/>
      <c r="G28" s="1384"/>
      <c r="H28" s="1384"/>
      <c r="I28" s="1384"/>
      <c r="J28" s="1384"/>
    </row>
    <row r="29" spans="1:11" s="2" customFormat="1">
      <c r="A29" s="805" t="s">
        <v>231</v>
      </c>
      <c r="B29" s="1384"/>
      <c r="C29" s="1384"/>
      <c r="D29" s="1384"/>
      <c r="E29" s="1384"/>
      <c r="F29" s="1384"/>
      <c r="G29" s="1384"/>
      <c r="H29" s="1384"/>
      <c r="I29" s="1384"/>
      <c r="J29" s="1384"/>
    </row>
    <row r="30" spans="1:11" s="2" customFormat="1">
      <c r="A30" s="805" t="s">
        <v>232</v>
      </c>
      <c r="B30" s="1384"/>
      <c r="C30" s="1384"/>
      <c r="D30" s="1384"/>
      <c r="E30" s="1384"/>
      <c r="F30" s="1384"/>
      <c r="G30" s="1384"/>
      <c r="H30" s="1384"/>
      <c r="I30" s="1384"/>
      <c r="J30" s="1384"/>
    </row>
    <row r="31" spans="1:11" s="2" customFormat="1">
      <c r="A31" s="79"/>
      <c r="C31" s="39"/>
      <c r="D31" s="39"/>
      <c r="E31" s="39"/>
      <c r="F31" s="39"/>
      <c r="G31" s="39"/>
      <c r="H31" s="39"/>
      <c r="I31" s="39"/>
      <c r="J31" s="39"/>
    </row>
    <row r="32" spans="1:11" s="2" customFormat="1" ht="20.5">
      <c r="B32" s="837" t="s">
        <v>411</v>
      </c>
      <c r="C32" s="74"/>
      <c r="D32" s="41"/>
      <c r="E32" s="41"/>
      <c r="F32" s="41"/>
      <c r="G32" s="41"/>
      <c r="H32" s="41"/>
      <c r="I32" s="41"/>
      <c r="J32" s="41"/>
      <c r="K32" s="41"/>
    </row>
    <row r="33" spans="1:11" s="2" customFormat="1">
      <c r="A33" s="5"/>
      <c r="C33" s="70"/>
    </row>
    <row r="34" spans="1:11">
      <c r="B34" s="856" t="s">
        <v>412</v>
      </c>
    </row>
    <row r="35" spans="1:11">
      <c r="B35" s="5"/>
    </row>
    <row r="36" spans="1:11" s="2" customFormat="1">
      <c r="A36" s="1" t="s">
        <v>233</v>
      </c>
      <c r="B36" s="5" t="s">
        <v>116</v>
      </c>
      <c r="C36" s="71"/>
      <c r="D36" s="30"/>
      <c r="E36" s="30"/>
      <c r="F36" s="30"/>
      <c r="G36" s="30"/>
      <c r="H36" s="30"/>
    </row>
    <row r="37" spans="1:11" s="2" customFormat="1">
      <c r="B37" s="67" t="s">
        <v>413</v>
      </c>
      <c r="C37" s="39" t="str">
        <f>Data!$C$9</f>
        <v>£m 18/19</v>
      </c>
      <c r="D37" s="654">
        <v>2.3619919814420771</v>
      </c>
      <c r="E37" s="654">
        <v>5.5310758624225134</v>
      </c>
      <c r="F37" s="654">
        <v>17.081776671238604</v>
      </c>
      <c r="G37" s="654">
        <v>17.330646600101876</v>
      </c>
      <c r="H37" s="654">
        <v>12.461472379796657</v>
      </c>
      <c r="I37" s="2" t="s">
        <v>414</v>
      </c>
    </row>
    <row r="38" spans="1:11" s="2" customFormat="1">
      <c r="B38" s="67" t="s">
        <v>415</v>
      </c>
      <c r="C38" s="39" t="str">
        <f>Data!$C$9</f>
        <v>£m 18/19</v>
      </c>
      <c r="D38" s="654">
        <v>0</v>
      </c>
      <c r="E38" s="654">
        <v>0</v>
      </c>
      <c r="F38" s="654">
        <v>0</v>
      </c>
      <c r="G38" s="654">
        <v>0</v>
      </c>
      <c r="H38" s="654">
        <v>0</v>
      </c>
    </row>
    <row r="39" spans="1:11" s="2" customFormat="1">
      <c r="B39" s="67" t="s">
        <v>416</v>
      </c>
      <c r="C39" s="39" t="str">
        <f>Data!$C$9</f>
        <v>£m 18/19</v>
      </c>
      <c r="D39" s="430">
        <v>0.23619919814420759</v>
      </c>
      <c r="E39" s="430">
        <v>0.55310758624225131</v>
      </c>
      <c r="F39" s="430">
        <v>1.7081776671238604</v>
      </c>
      <c r="G39" s="430">
        <v>1.7330646600101876</v>
      </c>
      <c r="H39" s="430">
        <v>1.2461472379796659</v>
      </c>
    </row>
    <row r="40" spans="1:11" s="5" customFormat="1">
      <c r="B40" s="2" t="s">
        <v>417</v>
      </c>
      <c r="C40" s="39" t="str">
        <f>Data!$C$9</f>
        <v>£m 18/19</v>
      </c>
      <c r="D40" s="433">
        <f>D37-D38-D39</f>
        <v>2.1257927832978694</v>
      </c>
      <c r="E40" s="434">
        <f t="shared" ref="E40:H40" si="2">E37-E38-E39</f>
        <v>4.9779682761802624</v>
      </c>
      <c r="F40" s="434">
        <f t="shared" si="2"/>
        <v>15.373599004114743</v>
      </c>
      <c r="G40" s="434">
        <f t="shared" si="2"/>
        <v>15.597581940091688</v>
      </c>
      <c r="H40" s="434">
        <f t="shared" si="2"/>
        <v>11.21532514181699</v>
      </c>
      <c r="I40" s="2"/>
      <c r="J40" s="2"/>
      <c r="K40" s="2"/>
    </row>
    <row r="41" spans="1:11" s="2" customFormat="1">
      <c r="A41" s="3"/>
      <c r="B41" s="5" t="s">
        <v>418</v>
      </c>
      <c r="C41" s="39" t="str">
        <f>Data!$C$9</f>
        <v>£m 18/19</v>
      </c>
      <c r="D41" s="437">
        <f>D38+D39</f>
        <v>0.23619919814420759</v>
      </c>
      <c r="E41" s="437">
        <f t="shared" ref="E41:H41" si="3">E38+E39</f>
        <v>0.55310758624225131</v>
      </c>
      <c r="F41" s="437">
        <f t="shared" si="3"/>
        <v>1.7081776671238604</v>
      </c>
      <c r="G41" s="437">
        <f t="shared" si="3"/>
        <v>1.7330646600101876</v>
      </c>
      <c r="H41" s="437">
        <f t="shared" si="3"/>
        <v>1.2461472379796659</v>
      </c>
    </row>
    <row r="42" spans="1:11" s="2" customFormat="1">
      <c r="A42" s="3"/>
      <c r="B42" s="5"/>
      <c r="C42" s="39"/>
      <c r="D42" s="801"/>
      <c r="E42" s="801"/>
      <c r="F42" s="801"/>
      <c r="G42" s="801"/>
      <c r="H42" s="801"/>
    </row>
    <row r="43" spans="1:11" s="2" customFormat="1">
      <c r="A43" s="1" t="s">
        <v>234</v>
      </c>
      <c r="B43" s="5" t="s">
        <v>117</v>
      </c>
      <c r="C43" s="39"/>
      <c r="D43" s="801"/>
      <c r="E43" s="801"/>
      <c r="F43" s="1290"/>
      <c r="G43" s="801"/>
      <c r="H43" s="801"/>
    </row>
    <row r="44" spans="1:11" s="2" customFormat="1" ht="14">
      <c r="A44" s="3"/>
      <c r="B44" s="67" t="s">
        <v>419</v>
      </c>
      <c r="C44" s="39" t="str">
        <f>Data!$C$9</f>
        <v>£m 18/19</v>
      </c>
      <c r="D44" s="654">
        <v>0.72570238952118094</v>
      </c>
      <c r="E44" s="942"/>
      <c r="F44" s="942"/>
      <c r="G44" s="942"/>
      <c r="H44" s="942"/>
      <c r="I44" s="2" t="s">
        <v>414</v>
      </c>
    </row>
    <row r="45" spans="1:11" s="2" customFormat="1" ht="14">
      <c r="A45" s="3"/>
      <c r="B45" s="67" t="s">
        <v>415</v>
      </c>
      <c r="C45" s="39" t="str">
        <f>Data!$C$9</f>
        <v>£m 18/19</v>
      </c>
      <c r="D45" s="654">
        <v>0</v>
      </c>
      <c r="E45" s="942"/>
      <c r="F45" s="942"/>
      <c r="G45" s="942"/>
      <c r="H45" s="942"/>
    </row>
    <row r="46" spans="1:11" s="2" customFormat="1" ht="14">
      <c r="A46" s="3"/>
      <c r="B46" s="67" t="s">
        <v>416</v>
      </c>
      <c r="C46" s="39" t="str">
        <f>Data!$C$9</f>
        <v>£m 18/19</v>
      </c>
      <c r="D46" s="654">
        <v>7.2570238952118102E-2</v>
      </c>
      <c r="E46" s="942"/>
      <c r="F46" s="942"/>
      <c r="G46" s="942"/>
      <c r="H46" s="942"/>
    </row>
    <row r="47" spans="1:11" s="2" customFormat="1" ht="14">
      <c r="A47" s="3"/>
      <c r="B47" s="2" t="s">
        <v>420</v>
      </c>
      <c r="C47" s="39" t="str">
        <f>Data!$C$9</f>
        <v>£m 18/19</v>
      </c>
      <c r="D47" s="433">
        <f>D44-D45-D46</f>
        <v>0.65313215056906282</v>
      </c>
      <c r="E47" s="942"/>
      <c r="F47" s="942"/>
      <c r="G47" s="942"/>
      <c r="H47" s="942"/>
    </row>
    <row r="48" spans="1:11" ht="14">
      <c r="A48" s="92"/>
      <c r="B48" s="5" t="s">
        <v>421</v>
      </c>
      <c r="C48" s="39" t="str">
        <f>Data!$C$9</f>
        <v>£m 18/19</v>
      </c>
      <c r="D48" s="434">
        <f>D45+D46</f>
        <v>7.2570238952118102E-2</v>
      </c>
      <c r="E48" s="942"/>
      <c r="F48" s="942"/>
      <c r="G48" s="942"/>
      <c r="H48" s="942"/>
      <c r="I48" s="2"/>
    </row>
    <row r="49" spans="1:11">
      <c r="B49" s="5"/>
      <c r="C49" s="39"/>
      <c r="D49" s="39"/>
      <c r="E49" s="39"/>
      <c r="F49" s="39"/>
      <c r="G49" s="39"/>
      <c r="H49" s="39"/>
      <c r="I49" s="39"/>
    </row>
    <row r="50" spans="1:11">
      <c r="A50" s="1" t="s">
        <v>235</v>
      </c>
      <c r="B50" s="5" t="s">
        <v>118</v>
      </c>
      <c r="C50" s="39"/>
      <c r="D50" s="801"/>
      <c r="E50" s="801"/>
      <c r="F50" s="801"/>
      <c r="G50" s="801"/>
      <c r="H50" s="801"/>
      <c r="I50" s="2"/>
    </row>
    <row r="51" spans="1:11">
      <c r="A51" s="3"/>
      <c r="B51" s="67" t="s">
        <v>422</v>
      </c>
      <c r="C51" s="39" t="str">
        <f>Data!$C$9</f>
        <v>£m 18/19</v>
      </c>
      <c r="D51" s="654">
        <v>9.0000000000000011E-3</v>
      </c>
      <c r="E51" s="654">
        <v>0.36</v>
      </c>
      <c r="F51" s="654">
        <v>0</v>
      </c>
      <c r="G51" s="654">
        <v>0</v>
      </c>
      <c r="H51" s="654">
        <v>0</v>
      </c>
      <c r="I51" s="2" t="s">
        <v>414</v>
      </c>
    </row>
    <row r="52" spans="1:11">
      <c r="A52" s="3"/>
      <c r="B52" s="67" t="s">
        <v>423</v>
      </c>
      <c r="C52" s="39" t="str">
        <f>Data!$C$9</f>
        <v>£m 18/19</v>
      </c>
      <c r="D52" s="1057"/>
      <c r="E52" s="810"/>
      <c r="F52" s="810"/>
      <c r="G52" s="810"/>
      <c r="H52" s="810"/>
      <c r="I52" s="2"/>
    </row>
    <row r="53" spans="1:11">
      <c r="A53" s="3"/>
      <c r="B53" s="67" t="s">
        <v>416</v>
      </c>
      <c r="C53" s="39" t="str">
        <f>Data!$C$9</f>
        <v>£m 18/19</v>
      </c>
      <c r="D53" s="430">
        <v>0</v>
      </c>
      <c r="E53" s="430">
        <v>0</v>
      </c>
      <c r="F53" s="430">
        <v>0</v>
      </c>
      <c r="G53" s="430">
        <v>0</v>
      </c>
      <c r="H53" s="430">
        <v>0</v>
      </c>
      <c r="I53" s="2"/>
    </row>
    <row r="54" spans="1:11">
      <c r="A54" s="3"/>
      <c r="B54" s="2" t="s">
        <v>424</v>
      </c>
      <c r="C54" s="39" t="str">
        <f>Data!$C$9</f>
        <v>£m 18/19</v>
      </c>
      <c r="D54" s="433">
        <f>D51-D52-D53</f>
        <v>9.0000000000000011E-3</v>
      </c>
      <c r="E54" s="434">
        <f>E51-E52-E53</f>
        <v>0.36</v>
      </c>
      <c r="F54" s="434">
        <f>F51-F52-F53</f>
        <v>0</v>
      </c>
      <c r="G54" s="434">
        <f>G51-G52-G53</f>
        <v>0</v>
      </c>
      <c r="H54" s="434">
        <f>H51-H52-H53</f>
        <v>0</v>
      </c>
      <c r="I54" s="2"/>
    </row>
    <row r="55" spans="1:11">
      <c r="A55" s="92"/>
      <c r="B55" s="5" t="s">
        <v>425</v>
      </c>
      <c r="C55" s="39" t="str">
        <f>Data!$C$9</f>
        <v>£m 18/19</v>
      </c>
      <c r="D55" s="434">
        <f>D52+D53</f>
        <v>0</v>
      </c>
      <c r="E55" s="434">
        <f>E52+E53</f>
        <v>0</v>
      </c>
      <c r="F55" s="434">
        <f>F52+F53</f>
        <v>0</v>
      </c>
      <c r="G55" s="434">
        <f>G52+G53</f>
        <v>0</v>
      </c>
      <c r="H55" s="434">
        <f>H52+H53</f>
        <v>0</v>
      </c>
      <c r="I55" s="2"/>
    </row>
    <row r="56" spans="1:11">
      <c r="B56" s="5"/>
      <c r="C56" s="39"/>
      <c r="D56" s="39"/>
      <c r="E56" s="39"/>
      <c r="F56" s="39"/>
      <c r="G56" s="39"/>
      <c r="H56" s="39"/>
      <c r="I56" s="39"/>
    </row>
    <row r="57" spans="1:11">
      <c r="B57" s="5"/>
      <c r="C57" s="39"/>
      <c r="D57" s="39"/>
      <c r="E57" s="39"/>
      <c r="F57" s="39"/>
      <c r="G57" s="39"/>
      <c r="H57" s="39"/>
      <c r="I57" s="39"/>
    </row>
    <row r="58" spans="1:11" s="2" customFormat="1">
      <c r="B58" s="856" t="s">
        <v>426</v>
      </c>
      <c r="C58" s="70"/>
    </row>
    <row r="59" spans="1:11" s="2" customFormat="1" ht="16">
      <c r="B59" s="146" t="s">
        <v>427</v>
      </c>
      <c r="C59" s="1049" t="s">
        <v>428</v>
      </c>
      <c r="D59" s="146"/>
      <c r="E59" s="146"/>
      <c r="F59" s="146"/>
      <c r="G59" s="146"/>
      <c r="H59" s="146"/>
      <c r="I59" s="146"/>
      <c r="J59" s="146"/>
      <c r="K59" s="146"/>
    </row>
    <row r="60" spans="1:11" s="2" customFormat="1">
      <c r="B60" s="901" t="s">
        <v>429</v>
      </c>
      <c r="C60" s="70"/>
    </row>
    <row r="61" spans="1:11" s="2" customFormat="1" ht="19.399999999999999" customHeight="1">
      <c r="A61" s="79"/>
      <c r="B61" s="679" t="s">
        <v>430</v>
      </c>
    </row>
    <row r="62" spans="1:11" s="2" customFormat="1" ht="14.9" customHeight="1">
      <c r="A62" s="79" t="s">
        <v>236</v>
      </c>
      <c r="B62" s="838" t="str">
        <f>Data!B187</f>
        <v/>
      </c>
      <c r="C62" s="39" t="str">
        <f>Data!$C$9</f>
        <v>£m 18/19</v>
      </c>
      <c r="D62" s="975"/>
      <c r="E62" s="975"/>
      <c r="F62" s="975"/>
      <c r="G62" s="975"/>
      <c r="H62" s="975"/>
    </row>
    <row r="63" spans="1:11" s="2" customFormat="1" ht="14.9" customHeight="1">
      <c r="A63" s="79" t="s">
        <v>237</v>
      </c>
      <c r="B63" s="838" t="str">
        <f>Data!B188</f>
        <v/>
      </c>
      <c r="C63" s="39" t="str">
        <f>Data!$C$9</f>
        <v>£m 18/19</v>
      </c>
      <c r="D63" s="975"/>
      <c r="E63" s="975"/>
      <c r="F63" s="975"/>
      <c r="G63" s="975"/>
      <c r="H63" s="975"/>
    </row>
    <row r="64" spans="1:11" s="2" customFormat="1" ht="14.9" customHeight="1">
      <c r="A64" s="79" t="s">
        <v>238</v>
      </c>
      <c r="B64" s="838" t="str">
        <f>Data!B189</f>
        <v/>
      </c>
      <c r="C64" s="39" t="str">
        <f>Data!$C$9</f>
        <v>£m 18/19</v>
      </c>
      <c r="D64" s="975"/>
      <c r="E64" s="975"/>
      <c r="F64" s="975"/>
      <c r="G64" s="975"/>
      <c r="H64" s="975"/>
    </row>
    <row r="65" spans="1:13" s="2" customFormat="1" ht="14.9" customHeight="1">
      <c r="A65" s="79" t="s">
        <v>239</v>
      </c>
      <c r="B65" s="838" t="str">
        <f>Data!B190</f>
        <v/>
      </c>
      <c r="C65" s="39" t="str">
        <f>Data!$C$9</f>
        <v>£m 18/19</v>
      </c>
      <c r="D65" s="975"/>
      <c r="E65" s="975"/>
      <c r="F65" s="975"/>
      <c r="G65" s="975"/>
      <c r="H65" s="975"/>
    </row>
    <row r="66" spans="1:13" s="2" customFormat="1" ht="14.9" customHeight="1">
      <c r="A66" s="79" t="s">
        <v>240</v>
      </c>
      <c r="B66" s="838" t="str">
        <f>Data!B191</f>
        <v/>
      </c>
      <c r="C66" s="39" t="str">
        <f>Data!$C$9</f>
        <v>£m 18/19</v>
      </c>
      <c r="D66" s="975"/>
      <c r="E66" s="975"/>
      <c r="F66" s="975"/>
      <c r="G66" s="975"/>
      <c r="H66" s="975"/>
    </row>
    <row r="67" spans="1:13" s="2" customFormat="1" ht="14.9" customHeight="1">
      <c r="B67" s="5"/>
      <c r="C67" s="78" t="str">
        <f>Data!$C$9</f>
        <v>£m 18/19</v>
      </c>
      <c r="D67" s="433">
        <f>SUM(D62:D66)</f>
        <v>0</v>
      </c>
      <c r="E67" s="433">
        <f>SUM(E62:E66)</f>
        <v>0</v>
      </c>
      <c r="F67" s="433">
        <f>SUM(F62:F66)</f>
        <v>0</v>
      </c>
      <c r="G67" s="433">
        <f>SUM(G62:G66)</f>
        <v>0</v>
      </c>
      <c r="H67" s="433">
        <f>SUM(H62:H66)</f>
        <v>0</v>
      </c>
    </row>
    <row r="68" spans="1:13" s="2" customFormat="1" ht="14.9" customHeight="1">
      <c r="B68" s="5"/>
      <c r="C68" s="78"/>
      <c r="D68" s="78"/>
      <c r="E68" s="78"/>
      <c r="F68" s="78"/>
      <c r="G68" s="78"/>
      <c r="H68" s="78"/>
      <c r="I68" s="78"/>
    </row>
    <row r="69" spans="1:13" s="418" customFormat="1" ht="14.25" customHeight="1">
      <c r="A69" s="417"/>
      <c r="M69" s="2"/>
    </row>
    <row r="70" spans="1:13" s="2" customFormat="1">
      <c r="A70" s="802"/>
      <c r="B70" s="803" t="s">
        <v>410</v>
      </c>
      <c r="C70" s="804"/>
      <c r="D70" s="804"/>
      <c r="E70" s="804"/>
      <c r="F70" s="804"/>
      <c r="G70" s="804"/>
      <c r="H70" s="804"/>
      <c r="I70" s="804"/>
      <c r="J70" s="804"/>
    </row>
    <row r="71" spans="1:13" s="2" customFormat="1">
      <c r="A71" s="805" t="s">
        <v>233</v>
      </c>
      <c r="B71" s="803"/>
      <c r="C71" s="804"/>
      <c r="D71" s="804"/>
      <c r="E71" s="804"/>
      <c r="F71" s="804"/>
      <c r="G71" s="804"/>
      <c r="H71" s="804"/>
      <c r="I71" s="804"/>
      <c r="J71" s="804"/>
    </row>
    <row r="72" spans="1:13" s="2" customFormat="1">
      <c r="A72" s="805" t="s">
        <v>234</v>
      </c>
      <c r="B72" s="803"/>
      <c r="C72" s="804"/>
      <c r="D72" s="804"/>
      <c r="E72" s="804"/>
      <c r="F72" s="804"/>
      <c r="G72" s="804"/>
      <c r="H72" s="804"/>
      <c r="I72" s="804"/>
      <c r="J72" s="804"/>
    </row>
    <row r="73" spans="1:13" s="2" customFormat="1">
      <c r="A73" s="805" t="s">
        <v>235</v>
      </c>
      <c r="B73" s="1384"/>
      <c r="C73" s="1384"/>
      <c r="D73" s="1384"/>
      <c r="E73" s="1384"/>
      <c r="F73" s="1384"/>
      <c r="G73" s="1384"/>
      <c r="H73" s="1384"/>
      <c r="I73" s="1384"/>
      <c r="J73" s="1384"/>
    </row>
    <row r="74" spans="1:13" s="2" customFormat="1">
      <c r="A74" s="805" t="s">
        <v>236</v>
      </c>
      <c r="B74" s="1384"/>
      <c r="C74" s="1384"/>
      <c r="D74" s="1384"/>
      <c r="E74" s="1384"/>
      <c r="F74" s="1384"/>
      <c r="G74" s="1384"/>
      <c r="H74" s="1384"/>
      <c r="I74" s="1384"/>
      <c r="J74" s="1384"/>
    </row>
    <row r="75" spans="1:13" s="2" customFormat="1">
      <c r="A75" s="805" t="s">
        <v>237</v>
      </c>
      <c r="B75" s="1384"/>
      <c r="C75" s="1384"/>
      <c r="D75" s="1384"/>
      <c r="E75" s="1384"/>
      <c r="F75" s="1384"/>
      <c r="G75" s="1384"/>
      <c r="H75" s="1384"/>
      <c r="I75" s="1384"/>
      <c r="J75" s="1384"/>
    </row>
    <row r="76" spans="1:13" s="2" customFormat="1">
      <c r="A76" s="805" t="s">
        <v>238</v>
      </c>
      <c r="B76" s="1384"/>
      <c r="C76" s="1384"/>
      <c r="D76" s="1384"/>
      <c r="E76" s="1384"/>
      <c r="F76" s="1384"/>
      <c r="G76" s="1384"/>
      <c r="H76" s="1384"/>
      <c r="I76" s="1384"/>
      <c r="J76" s="1384"/>
    </row>
    <row r="77" spans="1:13" s="2" customFormat="1">
      <c r="A77" s="805" t="s">
        <v>239</v>
      </c>
      <c r="B77" s="721"/>
      <c r="C77" s="721"/>
      <c r="D77" s="721"/>
      <c r="E77" s="721"/>
      <c r="F77" s="721"/>
      <c r="G77" s="721"/>
      <c r="H77" s="721"/>
      <c r="I77" s="721"/>
      <c r="J77" s="721"/>
    </row>
    <row r="78" spans="1:13" s="2" customFormat="1">
      <c r="A78" s="805" t="s">
        <v>240</v>
      </c>
      <c r="B78" s="1384"/>
      <c r="C78" s="1384"/>
      <c r="D78" s="1384"/>
      <c r="E78" s="1384"/>
      <c r="F78" s="1384"/>
      <c r="G78" s="1384"/>
      <c r="H78" s="1384"/>
      <c r="I78" s="1384"/>
      <c r="J78" s="1384"/>
    </row>
  </sheetData>
  <sheetProtection algorithmName="SHA-512" hashValue="2wRk7znhY2HAIfG+E4cbPiU1My0M76ztvjX/PISIXiEcsGsY2JWKWxS6Nd+Eu2tpJCmuw2e9AakMbVH6jekKFQ==" saltValue="JbjPkWV/boU04w4z5YV6jg==" spinCount="100000" sheet="1" formatCells="0" formatColumns="0" formatRows="0" insertColumns="0" insertRows="0" insertHyperlinks="0" deleteColumns="0" delete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39" priority="33">
      <formula>AND(D$5="Actuals",E$5="Forecast")</formula>
    </cfRule>
  </conditionalFormatting>
  <conditionalFormatting sqref="H5:H6">
    <cfRule type="expression" dxfId="38" priority="237">
      <formula>AND(H$5="Actuals",#REF!="Forecast")</formula>
    </cfRule>
  </conditionalFormatting>
  <conditionalFormatting sqref="D7:H7">
    <cfRule type="expression" dxfId="37"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zoomScale="50" zoomScaleNormal="50" workbookViewId="0">
      <pane ySplit="7" topLeftCell="A71" activePane="bottomLeft" state="frozen"/>
      <selection activeCell="B1" sqref="B1"/>
      <selection pane="bottomLeft" activeCell="L95" sqref="L95"/>
    </sheetView>
  </sheetViews>
  <sheetFormatPr defaultRowHeight="13.5"/>
  <cols>
    <col min="1" max="1" width="8.3828125" customWidth="1"/>
    <col min="2" max="2" width="101.765625" customWidth="1"/>
    <col min="3" max="3" width="14.15234375" customWidth="1"/>
    <col min="4" max="8" width="11.15234375" customWidth="1"/>
    <col min="9" max="10" width="12.84375" customWidth="1"/>
    <col min="11" max="11" width="5" customWidth="1"/>
  </cols>
  <sheetData>
    <row r="1" spans="1:11" ht="20">
      <c r="A1" s="1170" t="s">
        <v>178</v>
      </c>
      <c r="B1" s="751"/>
      <c r="C1" s="752"/>
      <c r="D1" s="752"/>
      <c r="E1" s="752"/>
      <c r="F1" s="752"/>
      <c r="G1" s="752"/>
      <c r="H1" s="752"/>
      <c r="I1" s="753"/>
      <c r="J1" s="753"/>
      <c r="K1" s="1179"/>
    </row>
    <row r="2" spans="1:11" ht="20">
      <c r="A2" s="644" t="str">
        <f>Licensee</f>
        <v>NGET (TO)</v>
      </c>
      <c r="B2" s="639"/>
      <c r="C2" s="16"/>
      <c r="D2" s="16"/>
      <c r="E2" s="16"/>
      <c r="F2" s="16"/>
      <c r="G2" s="16"/>
      <c r="H2" s="16"/>
      <c r="I2" s="15"/>
      <c r="J2" s="15"/>
      <c r="K2" s="66"/>
    </row>
    <row r="3" spans="1:11" ht="20">
      <c r="A3" s="639">
        <f>Reporting_Year</f>
        <v>2022</v>
      </c>
      <c r="B3" s="976" t="str">
        <f>IF('RFPR cover'!C7=Data!B78,"Not required to be completed for System Operator","")</f>
        <v/>
      </c>
      <c r="C3" s="977"/>
      <c r="D3" s="963"/>
      <c r="E3" s="963"/>
      <c r="F3" s="963"/>
      <c r="G3" s="963"/>
      <c r="H3" s="963"/>
      <c r="I3" s="964"/>
      <c r="J3" s="964"/>
      <c r="K3" s="120"/>
    </row>
    <row r="4" spans="1:11" ht="12.75" customHeight="1">
      <c r="A4" s="22"/>
      <c r="B4" s="22"/>
      <c r="C4" s="22"/>
      <c r="D4" s="22"/>
      <c r="E4" s="22"/>
      <c r="F4" s="22"/>
      <c r="G4" s="22"/>
      <c r="H4" s="22"/>
      <c r="I4" s="19"/>
    </row>
    <row r="5" spans="1:11" s="2" customFormat="1">
      <c r="B5" s="3"/>
      <c r="C5" s="3"/>
      <c r="D5" s="249" t="str">
        <f t="shared" ref="D5:I5" si="0">IF(D6&lt;=Reporting_Year,"Actuals","Forecast")</f>
        <v>Actuals</v>
      </c>
      <c r="E5" s="249" t="str">
        <f t="shared" si="0"/>
        <v>Forecast</v>
      </c>
      <c r="F5" s="249" t="str">
        <f t="shared" si="0"/>
        <v>Forecast</v>
      </c>
      <c r="G5" s="249" t="str">
        <f t="shared" si="0"/>
        <v>Forecast</v>
      </c>
      <c r="H5" s="249" t="str">
        <f t="shared" si="0"/>
        <v>Forecast</v>
      </c>
      <c r="I5" s="249" t="str">
        <f t="shared" si="0"/>
        <v>Forecast</v>
      </c>
    </row>
    <row r="6" spans="1:11" s="2" customFormat="1" ht="27">
      <c r="D6" s="63">
        <f>'RFPR cover'!$C$6</f>
        <v>2022</v>
      </c>
      <c r="E6" s="64">
        <f>D6+1</f>
        <v>2023</v>
      </c>
      <c r="F6" s="64">
        <f t="shared" ref="F6:H6" si="1">E6+1</f>
        <v>2024</v>
      </c>
      <c r="G6" s="64">
        <f t="shared" si="1"/>
        <v>2025</v>
      </c>
      <c r="H6" s="88">
        <f t="shared" si="1"/>
        <v>2026</v>
      </c>
      <c r="I6" s="806" t="str">
        <f>"Cumulative to "&amp;'RFPR cover'!$C$9</f>
        <v>Cumulative to 2022</v>
      </c>
      <c r="J6" s="125" t="s">
        <v>222</v>
      </c>
    </row>
    <row r="7" spans="1:11"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807" t="str">
        <f>RIIO_2_start_date+3&amp;"/"&amp;RIGHT(RIIO_2_start_date+4,2)</f>
        <v>2025/26</v>
      </c>
    </row>
    <row r="8" spans="1:11" s="2" customFormat="1"/>
    <row r="9" spans="1:11">
      <c r="B9" s="397" t="str">
        <f>'R5a - Financing input'!C818</f>
        <v>Net Interest Per Statutory Accounts</v>
      </c>
      <c r="C9" s="76" t="s">
        <v>261</v>
      </c>
      <c r="D9" s="176">
        <f>'R5a - Financing input'!M818</f>
        <v>243.38109058000003</v>
      </c>
      <c r="E9" s="189">
        <f>'R5a - Financing input'!N818</f>
        <v>386.95477963271162</v>
      </c>
      <c r="F9" s="189">
        <f>'R5a - Financing input'!O818</f>
        <v>255.09896492516353</v>
      </c>
      <c r="G9" s="189">
        <f>'R5a - Financing input'!P818</f>
        <v>176.54560109404369</v>
      </c>
      <c r="H9" s="189">
        <f>'R5a - Financing input'!Q818</f>
        <v>171.56925424102499</v>
      </c>
      <c r="I9" s="2"/>
      <c r="J9" s="2"/>
    </row>
    <row r="10" spans="1:11">
      <c r="B10" s="6"/>
      <c r="C10" s="76"/>
      <c r="D10" s="106"/>
      <c r="E10" s="106"/>
      <c r="F10" s="106"/>
      <c r="G10" s="106"/>
      <c r="H10" s="106"/>
      <c r="I10" s="2"/>
      <c r="J10" s="2"/>
    </row>
    <row r="11" spans="1:11">
      <c r="B11" s="6" t="s">
        <v>431</v>
      </c>
      <c r="C11" s="8"/>
      <c r="D11" s="107"/>
      <c r="E11" s="107"/>
      <c r="F11" s="107"/>
      <c r="G11" s="107"/>
      <c r="H11" s="107"/>
      <c r="I11" s="2"/>
      <c r="J11" s="2"/>
    </row>
    <row r="12" spans="1:11">
      <c r="B12" s="183" t="str">
        <f>'R5a - Financing input'!C826</f>
        <v>Interest not qualifying for corporation tax relief</v>
      </c>
      <c r="C12" s="76" t="s">
        <v>261</v>
      </c>
      <c r="D12" s="176">
        <f>'R5a - Financing input'!M826</f>
        <v>0</v>
      </c>
      <c r="E12" s="189">
        <f>'R5a - Financing input'!N826</f>
        <v>0</v>
      </c>
      <c r="F12" s="189">
        <f>'R5a - Financing input'!O826</f>
        <v>0</v>
      </c>
      <c r="G12" s="189">
        <f>'R5a - Financing input'!P826</f>
        <v>0</v>
      </c>
      <c r="H12" s="189">
        <f>'R5a - Financing input'!Q826</f>
        <v>0</v>
      </c>
      <c r="I12" s="2"/>
      <c r="J12" s="2"/>
    </row>
    <row r="13" spans="1:11">
      <c r="B13" s="183" t="str">
        <f>'R5a - Financing input'!C827</f>
        <v>Fair value adjustments (e.g. losses on derivatives)</v>
      </c>
      <c r="C13" s="76" t="s">
        <v>261</v>
      </c>
      <c r="D13" s="176">
        <f>'R5a - Financing input'!M827</f>
        <v>37.00412086</v>
      </c>
      <c r="E13" s="189">
        <f>'R5a - Financing input'!N827</f>
        <v>37.00412086</v>
      </c>
      <c r="F13" s="189">
        <f>'R5a - Financing input'!O827</f>
        <v>37.00412086</v>
      </c>
      <c r="G13" s="189">
        <f>'R5a - Financing input'!P827</f>
        <v>37.00412086</v>
      </c>
      <c r="H13" s="189">
        <f>'R5a - Financing input'!Q827</f>
        <v>37.00412086</v>
      </c>
      <c r="I13" s="2"/>
      <c r="J13" s="2"/>
    </row>
    <row r="14" spans="1:11">
      <c r="B14" s="183" t="str">
        <f>'R5a - Financing input'!C828</f>
        <v>Dividends on preference shares</v>
      </c>
      <c r="C14" s="76" t="s">
        <v>261</v>
      </c>
      <c r="D14" s="176">
        <f>'R5a - Financing input'!M828</f>
        <v>0</v>
      </c>
      <c r="E14" s="189">
        <f>'R5a - Financing input'!N828</f>
        <v>0</v>
      </c>
      <c r="F14" s="189">
        <f>'R5a - Financing input'!O828</f>
        <v>0</v>
      </c>
      <c r="G14" s="189">
        <f>'R5a - Financing input'!P828</f>
        <v>0</v>
      </c>
      <c r="H14" s="189">
        <f>'R5a - Financing input'!Q828</f>
        <v>0</v>
      </c>
      <c r="I14" s="2"/>
      <c r="J14" s="2"/>
    </row>
    <row r="15" spans="1:11">
      <c r="B15" s="183" t="str">
        <f>'R5a - Financing input'!C829</f>
        <v>Costs of early redemption on long term debt</v>
      </c>
      <c r="C15" s="76" t="s">
        <v>261</v>
      </c>
      <c r="D15" s="176">
        <f>'R5a - Financing input'!M829</f>
        <v>0</v>
      </c>
      <c r="E15" s="189">
        <f>'R5a - Financing input'!N829</f>
        <v>0</v>
      </c>
      <c r="F15" s="189">
        <f>'R5a - Financing input'!O829</f>
        <v>0</v>
      </c>
      <c r="G15" s="189">
        <f>'R5a - Financing input'!P829</f>
        <v>0</v>
      </c>
      <c r="H15" s="189">
        <f>'R5a - Financing input'!Q829</f>
        <v>0</v>
      </c>
      <c r="I15" s="2"/>
      <c r="J15" s="2"/>
    </row>
    <row r="16" spans="1:11">
      <c r="B16" s="183" t="str">
        <f>'R5a - Financing input'!C830</f>
        <v>Swap Termination Costs paid</v>
      </c>
      <c r="C16" s="76" t="s">
        <v>261</v>
      </c>
      <c r="D16" s="176">
        <f>'R5a - Financing input'!M830</f>
        <v>-0.3</v>
      </c>
      <c r="E16" s="189">
        <f>'R5a - Financing input'!N830</f>
        <v>-0.30887201341549225</v>
      </c>
      <c r="F16" s="189">
        <f>'R5a - Financing input'!O830</f>
        <v>-0.30887201341549225</v>
      </c>
      <c r="G16" s="189">
        <f>'R5a - Financing input'!P830</f>
        <v>0.24670861892622559</v>
      </c>
      <c r="H16" s="189">
        <f>'R5a - Financing input'!Q830</f>
        <v>3.1927797593110929</v>
      </c>
      <c r="I16" s="2"/>
      <c r="J16" s="2"/>
    </row>
    <row r="17" spans="2:9">
      <c r="B17" s="183" t="str">
        <f>'R5a - Financing input'!C831</f>
        <v>Movements relating to pension fund liabilities reported within net interest</v>
      </c>
      <c r="C17" s="76" t="s">
        <v>261</v>
      </c>
      <c r="D17" s="176">
        <f>'R5a - Financing input'!M831</f>
        <v>2.0000000400000002</v>
      </c>
      <c r="E17" s="189">
        <f>'R5a - Financing input'!N831</f>
        <v>2.0000000400000002</v>
      </c>
      <c r="F17" s="189">
        <f>'R5a - Financing input'!O831</f>
        <v>2.0000000400000002</v>
      </c>
      <c r="G17" s="189">
        <f>'R5a - Financing input'!P831</f>
        <v>2.0000000400000002</v>
      </c>
      <c r="H17" s="189">
        <f>'R5a - Financing input'!Q831</f>
        <v>2.0000000400000002</v>
      </c>
      <c r="I17" s="2"/>
    </row>
    <row r="18" spans="2:9">
      <c r="B18" s="183" t="str">
        <f>'R5a - Financing input'!C832</f>
        <v>Debt issuance expenses (inc. amortisation to discounts that had previously benefitted from a tax deduction)</v>
      </c>
      <c r="C18" s="76" t="s">
        <v>261</v>
      </c>
      <c r="D18" s="176">
        <f>'R5a - Financing input'!M832</f>
        <v>0</v>
      </c>
      <c r="E18" s="189">
        <f>'R5a - Financing input'!N832</f>
        <v>0</v>
      </c>
      <c r="F18" s="189">
        <f>'R5a - Financing input'!O832</f>
        <v>0</v>
      </c>
      <c r="G18" s="189">
        <f>'R5a - Financing input'!P832</f>
        <v>0</v>
      </c>
      <c r="H18" s="189">
        <f>'R5a - Financing input'!Q832</f>
        <v>0</v>
      </c>
      <c r="I18" s="2"/>
    </row>
    <row r="19" spans="2:9" ht="12.75" customHeight="1">
      <c r="B19" s="183" t="str">
        <f>'R5a - Financing input'!C833</f>
        <v>Commitment fees for undrawn liquidity backup lines</v>
      </c>
      <c r="C19" s="76" t="s">
        <v>261</v>
      </c>
      <c r="D19" s="176">
        <f>'R5a - Financing input'!M833</f>
        <v>-0.85069508999999999</v>
      </c>
      <c r="E19" s="189">
        <f>'R5a - Financing input'!N833</f>
        <v>-0.85069508999999999</v>
      </c>
      <c r="F19" s="189">
        <f>'R5a - Financing input'!O833</f>
        <v>-0.85069508999999999</v>
      </c>
      <c r="G19" s="189">
        <f>'R5a - Financing input'!P833</f>
        <v>-0.85069508999999999</v>
      </c>
      <c r="H19" s="189">
        <f>'R5a - Financing input'!Q833</f>
        <v>-0.85069508999999999</v>
      </c>
      <c r="I19" s="2"/>
    </row>
    <row r="20" spans="2:9">
      <c r="B20" s="183" t="str">
        <f>'R5a - Financing input'!C834</f>
        <v>Capitalised interest added back</v>
      </c>
      <c r="C20" s="76" t="s">
        <v>261</v>
      </c>
      <c r="D20" s="176">
        <f>'R5a - Financing input'!M834</f>
        <v>55.538800250000001</v>
      </c>
      <c r="E20" s="189">
        <f>'R5a - Financing input'!N834</f>
        <v>55.538800250000001</v>
      </c>
      <c r="F20" s="189">
        <f>'R5a - Financing input'!O834</f>
        <v>55.538800250000001</v>
      </c>
      <c r="G20" s="189">
        <f>'R5a - Financing input'!P834</f>
        <v>55.538800250000001</v>
      </c>
      <c r="H20" s="189">
        <f>'R5a - Financing input'!Q834</f>
        <v>55.538800250000001</v>
      </c>
      <c r="I20" s="2"/>
    </row>
    <row r="21" spans="2:9">
      <c r="B21" s="183" t="str">
        <f>'R5a - Financing input'!C835</f>
        <v>Provision unwind added back</v>
      </c>
      <c r="C21" s="76" t="s">
        <v>261</v>
      </c>
      <c r="D21" s="176">
        <f>'R5a - Financing input'!M835</f>
        <v>-1.824794</v>
      </c>
      <c r="E21" s="189">
        <f>'R5a - Financing input'!N835</f>
        <v>-1.824794</v>
      </c>
      <c r="F21" s="189">
        <f>'R5a - Financing input'!O835</f>
        <v>-1.824794</v>
      </c>
      <c r="G21" s="189">
        <f>'R5a - Financing input'!P835</f>
        <v>-1.824794</v>
      </c>
      <c r="H21" s="189">
        <f>'R5a - Financing input'!Q835</f>
        <v>-1.824794</v>
      </c>
      <c r="I21" s="2"/>
    </row>
    <row r="22" spans="2:9">
      <c r="B22" s="183" t="str">
        <f>'R5a - Financing input'!C836</f>
        <v>Rounding adjustment</v>
      </c>
      <c r="C22" s="76" t="s">
        <v>261</v>
      </c>
      <c r="D22" s="176">
        <f>'R5a - Financing input'!M836</f>
        <v>0</v>
      </c>
      <c r="E22" s="189">
        <f>'R5a - Financing input'!N836</f>
        <v>0</v>
      </c>
      <c r="F22" s="189">
        <f>'R5a - Financing input'!O836</f>
        <v>0</v>
      </c>
      <c r="G22" s="189">
        <f>'R5a - Financing input'!P836</f>
        <v>0</v>
      </c>
      <c r="H22" s="189">
        <f>'R5a - Financing input'!Q836</f>
        <v>0</v>
      </c>
      <c r="I22" s="2"/>
    </row>
    <row r="23" spans="2:9">
      <c r="B23" s="183" t="str">
        <f>'R5a - Financing input'!C837</f>
        <v>Customer debt</v>
      </c>
      <c r="C23" s="76" t="s">
        <v>261</v>
      </c>
      <c r="D23" s="176">
        <f>'R5a - Financing input'!M837</f>
        <v>0</v>
      </c>
      <c r="E23" s="189">
        <f>'R5a - Financing input'!N837</f>
        <v>0</v>
      </c>
      <c r="F23" s="189">
        <f>'R5a - Financing input'!O837</f>
        <v>0</v>
      </c>
      <c r="G23" s="189">
        <f>'R5a - Financing input'!P837</f>
        <v>0</v>
      </c>
      <c r="H23" s="189">
        <f>'R5a - Financing input'!Q837</f>
        <v>0</v>
      </c>
      <c r="I23" s="2"/>
    </row>
    <row r="24" spans="2:9">
      <c r="B24" s="183" t="str">
        <f>'R5a - Financing input'!C838</f>
        <v>Exceptional Costs of early redemption on long term debt- TBC</v>
      </c>
      <c r="C24" s="76" t="s">
        <v>261</v>
      </c>
      <c r="D24" s="176">
        <f>'R5a - Financing input'!M838</f>
        <v>0</v>
      </c>
      <c r="E24" s="189">
        <f>'R5a - Financing input'!N838</f>
        <v>0</v>
      </c>
      <c r="F24" s="189">
        <f>'R5a - Financing input'!O838</f>
        <v>0</v>
      </c>
      <c r="G24" s="189">
        <f>'R5a - Financing input'!P838</f>
        <v>0</v>
      </c>
      <c r="H24" s="189">
        <f>'R5a - Financing input'!Q838</f>
        <v>0</v>
      </c>
      <c r="I24" s="2"/>
    </row>
    <row r="25" spans="2:9">
      <c r="B25" s="183" t="str">
        <f>'R5a - Financing input'!C839</f>
        <v>7. IFRS 16 Right of Use Lease Liability</v>
      </c>
      <c r="C25" s="76" t="s">
        <v>261</v>
      </c>
      <c r="D25" s="176">
        <f>'R5a - Financing input'!M839</f>
        <v>-0.7</v>
      </c>
      <c r="E25" s="189">
        <f>'R5a - Financing input'!N839</f>
        <v>-0.7</v>
      </c>
      <c r="F25" s="189">
        <f>'R5a - Financing input'!O839</f>
        <v>-0.7</v>
      </c>
      <c r="G25" s="189">
        <f>'R5a - Financing input'!P839</f>
        <v>-0.7</v>
      </c>
      <c r="H25" s="189">
        <f>'R5a - Financing input'!Q839</f>
        <v>-0.7</v>
      </c>
      <c r="I25" s="2"/>
    </row>
    <row r="26" spans="2:9">
      <c r="B26" s="183" t="str">
        <f>'R5a - Financing input'!C840</f>
        <v>Other Adjustments [please specify]</v>
      </c>
      <c r="C26" s="76" t="s">
        <v>261</v>
      </c>
      <c r="D26" s="176">
        <f>'R5a - Financing input'!M840</f>
        <v>0</v>
      </c>
      <c r="E26" s="189">
        <f>'R5a - Financing input'!N840</f>
        <v>0</v>
      </c>
      <c r="F26" s="189">
        <f>'R5a - Financing input'!O840</f>
        <v>0</v>
      </c>
      <c r="G26" s="189">
        <f>'R5a - Financing input'!P840</f>
        <v>0</v>
      </c>
      <c r="H26" s="189">
        <f>'R5a - Financing input'!Q840</f>
        <v>0</v>
      </c>
      <c r="I26" s="2"/>
    </row>
    <row r="27" spans="2:9">
      <c r="B27" s="183" t="str">
        <f>'R5a - Financing input'!C841</f>
        <v>Other Adjustments [please specify]</v>
      </c>
      <c r="C27" s="76" t="s">
        <v>261</v>
      </c>
      <c r="D27" s="176">
        <f>'R5a - Financing input'!M841</f>
        <v>0</v>
      </c>
      <c r="E27" s="189">
        <f>'R5a - Financing input'!N841</f>
        <v>0</v>
      </c>
      <c r="F27" s="189">
        <f>'R5a - Financing input'!O841</f>
        <v>0</v>
      </c>
      <c r="G27" s="189">
        <f>'R5a - Financing input'!P841</f>
        <v>0</v>
      </c>
      <c r="H27" s="189">
        <f>'R5a - Financing input'!Q841</f>
        <v>0</v>
      </c>
      <c r="I27" s="2"/>
    </row>
    <row r="28" spans="2:9">
      <c r="B28" s="183" t="str">
        <f>'R5a - Financing input'!C842</f>
        <v>Other Adjustments [please specify]</v>
      </c>
      <c r="C28" s="76" t="s">
        <v>261</v>
      </c>
      <c r="D28" s="176">
        <f>'R5a - Financing input'!M842</f>
        <v>0</v>
      </c>
      <c r="E28" s="189">
        <f>'R5a - Financing input'!N842</f>
        <v>0</v>
      </c>
      <c r="F28" s="189">
        <f>'R5a - Financing input'!O842</f>
        <v>0</v>
      </c>
      <c r="G28" s="189">
        <f>'R5a - Financing input'!P842</f>
        <v>0</v>
      </c>
      <c r="H28" s="189">
        <f>'R5a - Financing input'!Q842</f>
        <v>0</v>
      </c>
      <c r="I28" s="2"/>
    </row>
    <row r="29" spans="2:9">
      <c r="B29" s="729" t="s">
        <v>313</v>
      </c>
      <c r="C29" s="76" t="s">
        <v>261</v>
      </c>
      <c r="D29" s="72">
        <f>SUM(D9,D12:D28)</f>
        <v>334.24852264000003</v>
      </c>
      <c r="E29" s="73">
        <f t="shared" ref="E29:H29" si="2">SUM(E9,E12:E28)</f>
        <v>477.81333967929612</v>
      </c>
      <c r="F29" s="73">
        <f t="shared" si="2"/>
        <v>345.95752497174806</v>
      </c>
      <c r="G29" s="73">
        <f t="shared" si="2"/>
        <v>267.95974177296995</v>
      </c>
      <c r="H29" s="73">
        <f t="shared" si="2"/>
        <v>265.9294660603361</v>
      </c>
      <c r="I29" s="2"/>
    </row>
    <row r="30" spans="2:9" ht="14">
      <c r="B30" s="184" t="s">
        <v>432</v>
      </c>
      <c r="C30" s="76" t="s">
        <v>261</v>
      </c>
      <c r="D30" s="942"/>
      <c r="E30" s="429">
        <v>15.6</v>
      </c>
      <c r="F30" s="429">
        <v>38.01</v>
      </c>
      <c r="G30" s="429">
        <v>56.800000000000004</v>
      </c>
      <c r="H30" s="429">
        <v>87.75</v>
      </c>
      <c r="I30" s="2"/>
    </row>
    <row r="31" spans="2:9">
      <c r="B31" s="729" t="s">
        <v>433</v>
      </c>
      <c r="C31" s="76" t="s">
        <v>261</v>
      </c>
      <c r="D31" s="72">
        <f>SUM(D29:D30)</f>
        <v>334.24852264000003</v>
      </c>
      <c r="E31" s="73">
        <f t="shared" ref="E31:H31" si="3">SUM(E29:E30)</f>
        <v>493.41333967929614</v>
      </c>
      <c r="F31" s="73">
        <f t="shared" si="3"/>
        <v>383.96752497174805</v>
      </c>
      <c r="G31" s="73">
        <f t="shared" si="3"/>
        <v>324.75974177296996</v>
      </c>
      <c r="H31" s="73">
        <f t="shared" si="3"/>
        <v>353.6794660603361</v>
      </c>
      <c r="I31" s="2"/>
    </row>
    <row r="32" spans="2:9">
      <c r="B32" s="89" t="s">
        <v>434</v>
      </c>
      <c r="C32" s="76" t="s">
        <v>261</v>
      </c>
      <c r="D32" s="429">
        <v>333.27394964000001</v>
      </c>
      <c r="E32" s="429">
        <v>493.41333967929614</v>
      </c>
      <c r="F32" s="429">
        <v>383.96752497174805</v>
      </c>
      <c r="G32" s="429">
        <v>324.75974177296996</v>
      </c>
      <c r="H32" s="429">
        <v>353.6794660603361</v>
      </c>
      <c r="I32" s="2"/>
    </row>
    <row r="33" spans="2:11">
      <c r="B33" s="89" t="s">
        <v>435</v>
      </c>
      <c r="C33" s="76" t="s">
        <v>261</v>
      </c>
      <c r="D33" s="429">
        <v>0.97457300000000013</v>
      </c>
      <c r="E33" s="429">
        <v>0</v>
      </c>
      <c r="F33" s="429">
        <v>0</v>
      </c>
      <c r="G33" s="429">
        <v>0</v>
      </c>
      <c r="H33" s="429">
        <v>0</v>
      </c>
      <c r="I33" s="2"/>
    </row>
    <row r="34" spans="2:11">
      <c r="B34" s="89"/>
      <c r="D34" s="104" t="str">
        <f>IF(ABS(D31-SUM(D32:D33))&lt;Data!$F$7,"OK","ERROR")</f>
        <v>OK</v>
      </c>
      <c r="E34" s="105" t="str">
        <f>IF(ABS(E31-SUM(E32:E33))&lt;Data!$F$7,"OK","ERROR")</f>
        <v>OK</v>
      </c>
      <c r="F34" s="105" t="str">
        <f>IF(ABS(F31-SUM(F32:F33))&lt;Data!$F$7,"OK","ERROR")</f>
        <v>OK</v>
      </c>
      <c r="G34" s="105" t="str">
        <f>IF(ABS(G31-SUM(G32:G33))&lt;Data!$F$7,"OK","ERROR")</f>
        <v>OK</v>
      </c>
      <c r="H34" s="105" t="str">
        <f>IF(ABS(H31-SUM(H32:H33))&lt;Data!$F$7,"OK","ERROR")</f>
        <v>OK</v>
      </c>
      <c r="I34" s="2"/>
    </row>
    <row r="35" spans="2:11">
      <c r="D35" s="12"/>
      <c r="E35" s="12"/>
      <c r="F35" s="12"/>
      <c r="G35" s="12"/>
      <c r="H35" s="12"/>
      <c r="I35" s="2"/>
    </row>
    <row r="36" spans="2:11">
      <c r="B36" s="89" t="s">
        <v>436</v>
      </c>
      <c r="C36" s="76" t="s">
        <v>261</v>
      </c>
      <c r="D36" s="429">
        <v>181.71273542755503</v>
      </c>
      <c r="E36" s="429">
        <v>328.32420521131849</v>
      </c>
      <c r="F36" s="429">
        <v>141.20759879428479</v>
      </c>
      <c r="G36" s="429">
        <v>75.65164895118636</v>
      </c>
      <c r="H36" s="429">
        <v>79.147619871019543</v>
      </c>
      <c r="I36" s="2"/>
    </row>
    <row r="37" spans="2:11">
      <c r="D37" s="12"/>
      <c r="E37" s="12"/>
      <c r="F37" s="12"/>
      <c r="G37" s="12"/>
      <c r="H37" s="12"/>
      <c r="I37" s="2"/>
    </row>
    <row r="38" spans="2:11">
      <c r="B38" s="89" t="s">
        <v>437</v>
      </c>
      <c r="C38" s="76" t="s">
        <v>261</v>
      </c>
      <c r="D38" s="594">
        <f>('R6 - Net Debt'!D$55-AVERAGE('R6 - Net Debt'!D$9,('R6 - Net Debt'!D$11-'R6a - Net Debt input'!T$18)))*(INDEX(YEFactor_change,MATCH('R5 - Financing'!D$6,calendar_year,0))-1)</f>
        <v>371.97024878704252</v>
      </c>
      <c r="E38" s="594">
        <f>('R6 - Net Debt'!E$55-AVERAGE('R6 - Net Debt'!E$9,('R6 - Net Debt'!E$11-'R6a - Net Debt input'!U$18)))*(INDEX(YEFactor_change,MATCH('R5 - Financing'!E$6,calendar_year,0))-1)</f>
        <v>697.03210659119236</v>
      </c>
      <c r="F38" s="594">
        <f>('R6 - Net Debt'!F$55-AVERAGE('R6 - Net Debt'!F$9,('R6 - Net Debt'!F$11-'R6a - Net Debt input'!V$18)))*(INDEX(YEFactor_change,MATCH('R5 - Financing'!F$6,calendar_year,0))-1)</f>
        <v>332.22307839597187</v>
      </c>
      <c r="G38" s="594">
        <f>('R6 - Net Debt'!G$55-AVERAGE('R6 - Net Debt'!G$9,('R6 - Net Debt'!G$11-'R6a - Net Debt input'!W$18)))*(INDEX(YEFactor_change,MATCH('R5 - Financing'!G$6,calendar_year,0))-1)</f>
        <v>177.19487839154303</v>
      </c>
      <c r="H38" s="594">
        <f>('R6 - Net Debt'!H$55-AVERAGE('R6 - Net Debt'!H$9,('R6 - Net Debt'!H$11-'R6a - Net Debt input'!X$18)))*(INDEX(YEFactor_change,MATCH('R5 - Financing'!H$6,calendar_year,0))-1)</f>
        <v>209.50820456721547</v>
      </c>
      <c r="I38" s="2"/>
      <c r="K38" s="131"/>
    </row>
    <row r="39" spans="2:11">
      <c r="B39" s="89"/>
      <c r="C39" s="76"/>
      <c r="D39" s="540"/>
      <c r="E39" s="540"/>
      <c r="F39" s="540"/>
      <c r="G39" s="540"/>
      <c r="H39" s="540"/>
      <c r="I39" s="2"/>
      <c r="K39" s="131"/>
    </row>
    <row r="40" spans="2:11">
      <c r="B40" s="89" t="s">
        <v>438</v>
      </c>
      <c r="C40" s="76" t="s">
        <v>261</v>
      </c>
      <c r="D40" s="51">
        <f>D31-D38</f>
        <v>-37.721726147042489</v>
      </c>
      <c r="E40" s="51">
        <f>E31-E38</f>
        <v>-203.61876691189622</v>
      </c>
      <c r="F40" s="51">
        <f t="shared" ref="F40:H40" si="4">F31-F38</f>
        <v>51.74444657577618</v>
      </c>
      <c r="G40" s="51">
        <f t="shared" si="4"/>
        <v>147.56486338142693</v>
      </c>
      <c r="H40" s="51">
        <f t="shared" si="4"/>
        <v>144.17126149312062</v>
      </c>
    </row>
    <row r="41" spans="2:11">
      <c r="B41" s="89"/>
      <c r="C41" s="76"/>
      <c r="D41" s="76"/>
      <c r="E41" s="76"/>
      <c r="F41" s="76"/>
      <c r="G41" s="76"/>
      <c r="H41" s="76"/>
      <c r="I41" s="76"/>
      <c r="K41" s="131"/>
    </row>
    <row r="42" spans="2:11">
      <c r="B42" s="576" t="s">
        <v>439</v>
      </c>
      <c r="C42" s="76" t="s">
        <v>440</v>
      </c>
      <c r="D42" s="400">
        <f t="shared" ref="D42:H42" si="5">INDEX(real_to_nominal_CF,MATCH(D$6,calendar_year,0))</f>
        <v>1.0847835302284383</v>
      </c>
      <c r="E42" s="400">
        <f t="shared" si="5"/>
        <v>1.1682111694202062</v>
      </c>
      <c r="F42" s="400">
        <f t="shared" si="5"/>
        <v>1.2070548174037865</v>
      </c>
      <c r="G42" s="400">
        <f t="shared" si="5"/>
        <v>1.2275072378847331</v>
      </c>
      <c r="H42" s="400">
        <f t="shared" si="5"/>
        <v>1.2509585044470788</v>
      </c>
      <c r="I42" s="76"/>
      <c r="K42" s="131"/>
    </row>
    <row r="43" spans="2:11">
      <c r="D43" s="1225"/>
      <c r="E43" s="1225"/>
      <c r="F43" s="1225"/>
      <c r="G43" s="1225"/>
      <c r="H43" s="1225"/>
      <c r="I43" s="39"/>
      <c r="J43" s="39"/>
      <c r="K43" s="39"/>
    </row>
    <row r="44" spans="2:11">
      <c r="B44" s="467" t="s">
        <v>441</v>
      </c>
      <c r="C44" s="78" t="str">
        <f>Data!$C$9</f>
        <v>£m 18/19</v>
      </c>
      <c r="D44" s="72">
        <f>D40/D42</f>
        <v>-34.773505585117881</v>
      </c>
      <c r="E44" s="73">
        <f t="shared" ref="E44:H44" si="6">E40/E42</f>
        <v>-174.29962342592054</v>
      </c>
      <c r="F44" s="73">
        <f t="shared" si="6"/>
        <v>42.868348503899405</v>
      </c>
      <c r="G44" s="73">
        <f t="shared" si="6"/>
        <v>120.21506580744393</v>
      </c>
      <c r="H44" s="73">
        <f t="shared" si="6"/>
        <v>115.24863613029598</v>
      </c>
      <c r="I44" s="448">
        <f>SUM(D44:INDEX(D44:H44,0,MATCH('RFPR cover'!$C$9,$D$6:$H$6,0)))</f>
        <v>-34.773505585117881</v>
      </c>
      <c r="J44" s="449">
        <f>SUM(D44:H44)</f>
        <v>69.258921430600893</v>
      </c>
    </row>
    <row r="45" spans="2:11">
      <c r="B45" s="89"/>
      <c r="C45" s="39"/>
      <c r="D45" s="508"/>
      <c r="E45" s="508"/>
      <c r="F45" s="508"/>
      <c r="G45" s="508"/>
      <c r="H45" s="508"/>
      <c r="I45" s="544"/>
      <c r="J45" s="544"/>
    </row>
    <row r="46" spans="2:11">
      <c r="B46" s="467" t="s">
        <v>442</v>
      </c>
      <c r="C46" s="76"/>
      <c r="D46" s="508"/>
      <c r="E46" s="508"/>
      <c r="F46" s="508"/>
      <c r="G46" s="508"/>
      <c r="H46" s="508"/>
      <c r="I46" s="544"/>
      <c r="J46" s="544"/>
    </row>
    <row r="47" spans="2:11">
      <c r="B47" s="183" t="str">
        <f>'R5a - Financing input'!C845</f>
        <v>Add back Debt Issuance expenses</v>
      </c>
      <c r="C47" s="76" t="s">
        <v>261</v>
      </c>
      <c r="D47" s="593">
        <f>'R5a - Financing input'!M845</f>
        <v>0</v>
      </c>
      <c r="E47" s="593">
        <f>'R5a - Financing input'!N845</f>
        <v>0</v>
      </c>
      <c r="F47" s="593">
        <f>'R5a - Financing input'!O845</f>
        <v>0</v>
      </c>
      <c r="G47" s="593">
        <f>'R5a - Financing input'!P845</f>
        <v>0</v>
      </c>
      <c r="H47" s="593">
        <f>'R5a - Financing input'!Q845</f>
        <v>0</v>
      </c>
      <c r="I47" s="448">
        <f>SUM(D47:INDEX(D47:H47,0,MATCH('RFPR cover'!$C$9,$D$6:$H$6,0)))</f>
        <v>0</v>
      </c>
      <c r="J47" s="448">
        <f t="shared" ref="J47:J54" si="7">SUM(D47:H47)</f>
        <v>0</v>
      </c>
    </row>
    <row r="48" spans="2:11" ht="14">
      <c r="B48" s="183" t="s">
        <v>443</v>
      </c>
      <c r="C48" s="76" t="s">
        <v>261</v>
      </c>
      <c r="D48" s="942"/>
      <c r="E48" s="429">
        <v>0</v>
      </c>
      <c r="F48" s="429">
        <v>0</v>
      </c>
      <c r="G48" s="429">
        <v>0</v>
      </c>
      <c r="H48" s="429">
        <v>0</v>
      </c>
      <c r="I48" s="448">
        <f>SUM(D48:INDEX(D48:H48,0,MATCH('RFPR cover'!$C$9,$D$6:$H$6,0)))</f>
        <v>0</v>
      </c>
      <c r="J48" s="448">
        <f t="shared" si="7"/>
        <v>0</v>
      </c>
    </row>
    <row r="49" spans="1:11">
      <c r="B49" s="183" t="str">
        <f>'R5a - Financing input'!C846</f>
        <v>Costs of early redemption on long term debt (excluding exceptional costs of buy backs associated with M&amp;A activity)</v>
      </c>
      <c r="C49" s="76" t="s">
        <v>261</v>
      </c>
      <c r="D49" s="593">
        <f>'R5a - Financing input'!M846</f>
        <v>0</v>
      </c>
      <c r="E49" s="593">
        <f>'R5a - Financing input'!N846</f>
        <v>0</v>
      </c>
      <c r="F49" s="593">
        <f>'R5a - Financing input'!O846</f>
        <v>0</v>
      </c>
      <c r="G49" s="593">
        <f>'R5a - Financing input'!P846</f>
        <v>0</v>
      </c>
      <c r="H49" s="593">
        <f>'R5a - Financing input'!Q846</f>
        <v>0</v>
      </c>
      <c r="I49" s="448">
        <f>SUM(D49:INDEX(D49:H49,0,MATCH('RFPR cover'!$C$9,$D$6:$H$6,0)))</f>
        <v>0</v>
      </c>
      <c r="J49" s="448">
        <f t="shared" si="7"/>
        <v>0</v>
      </c>
    </row>
    <row r="50" spans="1:11">
      <c r="B50" s="183" t="str">
        <f>'R5a - Financing input'!C847</f>
        <v>Add accrual for inflation accretion on index-linked swaps (if applicable)</v>
      </c>
      <c r="C50" s="76" t="s">
        <v>261</v>
      </c>
      <c r="D50" s="593">
        <f>'R5a - Financing input'!M847</f>
        <v>0</v>
      </c>
      <c r="E50" s="593">
        <f>'R5a - Financing input'!N847</f>
        <v>0</v>
      </c>
      <c r="F50" s="593">
        <f>'R5a - Financing input'!O847</f>
        <v>0</v>
      </c>
      <c r="G50" s="593">
        <f>'R5a - Financing input'!P847</f>
        <v>0</v>
      </c>
      <c r="H50" s="593">
        <f>'R5a - Financing input'!Q847</f>
        <v>0</v>
      </c>
      <c r="I50" s="448">
        <f>SUM(D50:INDEX(D50:H50,0,MATCH('RFPR cover'!$C$9,$D$6:$H$6,0)))</f>
        <v>0</v>
      </c>
      <c r="J50" s="448">
        <f t="shared" si="7"/>
        <v>0</v>
      </c>
    </row>
    <row r="51" spans="1:11">
      <c r="B51" s="1062" t="str">
        <f>'R5a - Financing input'!C848</f>
        <v>Other Adjustments [please specify]</v>
      </c>
      <c r="C51" s="76" t="s">
        <v>261</v>
      </c>
      <c r="D51" s="593">
        <f>'R5a - Financing input'!M848</f>
        <v>0</v>
      </c>
      <c r="E51" s="593">
        <f>'R5a - Financing input'!N848</f>
        <v>0</v>
      </c>
      <c r="F51" s="593">
        <f>'R5a - Financing input'!O848</f>
        <v>0</v>
      </c>
      <c r="G51" s="593">
        <f>'R5a - Financing input'!P848</f>
        <v>0</v>
      </c>
      <c r="H51" s="593">
        <f>'R5a - Financing input'!Q848</f>
        <v>0</v>
      </c>
      <c r="I51" s="448">
        <f>SUM(D51:INDEX(D51:H51,0,MATCH('RFPR cover'!$C$9,$D$6:$H$6,0)))</f>
        <v>0</v>
      </c>
      <c r="J51" s="448">
        <f t="shared" si="7"/>
        <v>0</v>
      </c>
    </row>
    <row r="52" spans="1:11">
      <c r="B52" s="1062" t="str">
        <f>'R5a - Financing input'!C849</f>
        <v>Other Adjustments [please specify]</v>
      </c>
      <c r="C52" s="76" t="s">
        <v>261</v>
      </c>
      <c r="D52" s="593">
        <f>'R5a - Financing input'!M849</f>
        <v>0</v>
      </c>
      <c r="E52" s="593">
        <f>'R5a - Financing input'!N849</f>
        <v>0</v>
      </c>
      <c r="F52" s="593">
        <f>'R5a - Financing input'!O849</f>
        <v>0</v>
      </c>
      <c r="G52" s="593">
        <f>'R5a - Financing input'!P849</f>
        <v>0</v>
      </c>
      <c r="H52" s="593">
        <f>'R5a - Financing input'!Q849</f>
        <v>0</v>
      </c>
      <c r="I52" s="448">
        <f>SUM(D52:INDEX(D52:H52,0,MATCH('RFPR cover'!$C$9,$D$6:$H$6,0)))</f>
        <v>0</v>
      </c>
      <c r="J52" s="448">
        <f t="shared" si="7"/>
        <v>0</v>
      </c>
    </row>
    <row r="53" spans="1:11">
      <c r="B53" s="1062" t="str">
        <f>'R5a - Financing input'!C850</f>
        <v>Other Adjustments [please specify]</v>
      </c>
      <c r="C53" s="76" t="s">
        <v>261</v>
      </c>
      <c r="D53" s="593">
        <f>'R5a - Financing input'!M850</f>
        <v>0</v>
      </c>
      <c r="E53" s="593">
        <f>'R5a - Financing input'!N850</f>
        <v>0</v>
      </c>
      <c r="F53" s="593">
        <f>'R5a - Financing input'!O850</f>
        <v>0</v>
      </c>
      <c r="G53" s="593">
        <f>'R5a - Financing input'!P850</f>
        <v>0</v>
      </c>
      <c r="H53" s="593">
        <f>'R5a - Financing input'!Q850</f>
        <v>0</v>
      </c>
      <c r="I53" s="448">
        <f>SUM(D53:INDEX(D53:H53,0,MATCH('RFPR cover'!$C$9,$D$6:$H$6,0)))</f>
        <v>0</v>
      </c>
      <c r="J53" s="448">
        <f t="shared" si="7"/>
        <v>0</v>
      </c>
    </row>
    <row r="54" spans="1:11">
      <c r="B54" s="1062" t="str">
        <f>'R5a - Financing input'!C851</f>
        <v>Other Adjustments [please specify]</v>
      </c>
      <c r="C54" s="76" t="s">
        <v>261</v>
      </c>
      <c r="D54" s="593">
        <f>'R5a - Financing input'!M851</f>
        <v>0</v>
      </c>
      <c r="E54" s="593">
        <f>'R5a - Financing input'!N851</f>
        <v>0</v>
      </c>
      <c r="F54" s="593">
        <f>'R5a - Financing input'!O851</f>
        <v>0</v>
      </c>
      <c r="G54" s="593">
        <f>'R5a - Financing input'!P851</f>
        <v>0</v>
      </c>
      <c r="H54" s="593">
        <f>'R5a - Financing input'!Q851</f>
        <v>0</v>
      </c>
      <c r="I54" s="448">
        <f>SUM(D54:INDEX(D54:H54,0,MATCH('RFPR cover'!$C$9,$D$6:$H$6,0)))</f>
        <v>0</v>
      </c>
      <c r="J54" s="448">
        <f t="shared" si="7"/>
        <v>0</v>
      </c>
    </row>
    <row r="55" spans="1:11" s="25" customFormat="1">
      <c r="B55" s="584"/>
      <c r="C55" s="585"/>
      <c r="D55" s="978"/>
      <c r="E55" s="978"/>
      <c r="F55" s="978"/>
      <c r="G55" s="978"/>
      <c r="H55" s="978"/>
      <c r="I55" s="979"/>
      <c r="J55" s="979"/>
    </row>
    <row r="56" spans="1:11">
      <c r="B56" s="578" t="s">
        <v>444</v>
      </c>
      <c r="C56" s="110" t="s">
        <v>261</v>
      </c>
      <c r="D56" s="72">
        <f>SUM(D47:D54)</f>
        <v>0</v>
      </c>
      <c r="E56" s="72">
        <f t="shared" ref="E56:H56" si="8">SUM(E47:E54)</f>
        <v>0</v>
      </c>
      <c r="F56" s="72">
        <f t="shared" si="8"/>
        <v>0</v>
      </c>
      <c r="G56" s="72">
        <f t="shared" si="8"/>
        <v>0</v>
      </c>
      <c r="H56" s="72">
        <f t="shared" si="8"/>
        <v>0</v>
      </c>
      <c r="I56" s="448">
        <f>SUM(D56:INDEX(D56:H56,0,MATCH('RFPR cover'!$C$9,$D$6:$H$6,0)))</f>
        <v>0</v>
      </c>
      <c r="J56" s="449">
        <f>SUM(D56:H56)</f>
        <v>0</v>
      </c>
    </row>
    <row r="57" spans="1:11">
      <c r="B57" s="578" t="s">
        <v>444</v>
      </c>
      <c r="C57" s="78" t="str">
        <f>Data!$C$9</f>
        <v>£m 18/19</v>
      </c>
      <c r="D57" s="72">
        <f>D56/D42</f>
        <v>0</v>
      </c>
      <c r="E57" s="72">
        <f t="shared" ref="E57:H57" si="9">E56/E42</f>
        <v>0</v>
      </c>
      <c r="F57" s="72">
        <f t="shared" si="9"/>
        <v>0</v>
      </c>
      <c r="G57" s="72">
        <f t="shared" si="9"/>
        <v>0</v>
      </c>
      <c r="H57" s="72">
        <f t="shared" si="9"/>
        <v>0</v>
      </c>
      <c r="I57" s="448">
        <f>SUM(D57:INDEX(D57:H57,0,MATCH('RFPR cover'!$C$9,$D$6:$H$6,0)))</f>
        <v>0</v>
      </c>
      <c r="J57" s="449">
        <f>SUM(D57:H57)</f>
        <v>0</v>
      </c>
    </row>
    <row r="58" spans="1:11">
      <c r="B58" s="89"/>
      <c r="C58" s="39"/>
      <c r="D58" s="508"/>
      <c r="E58" s="508"/>
      <c r="F58" s="508"/>
      <c r="G58" s="508"/>
      <c r="H58" s="508"/>
      <c r="I58" s="544"/>
      <c r="J58" s="544"/>
    </row>
    <row r="59" spans="1:11" s="2" customFormat="1">
      <c r="A59" s="1"/>
    </row>
    <row r="60" spans="1:11" s="2" customFormat="1">
      <c r="A60" s="1"/>
      <c r="B60" s="545" t="s">
        <v>445</v>
      </c>
      <c r="C60" s="41"/>
      <c r="D60" s="41"/>
      <c r="E60" s="41"/>
      <c r="F60" s="41"/>
      <c r="G60" s="41"/>
      <c r="H60" s="41"/>
      <c r="I60" s="41"/>
      <c r="J60" s="41"/>
      <c r="K60" s="41"/>
    </row>
    <row r="61" spans="1:11" s="2" customFormat="1">
      <c r="A61" s="1"/>
      <c r="B61" s="182" t="s">
        <v>446</v>
      </c>
      <c r="C61" s="1033"/>
      <c r="D61" s="1033"/>
      <c r="E61" s="1033"/>
      <c r="F61" s="1033"/>
      <c r="G61" s="1033"/>
      <c r="H61" s="1033"/>
      <c r="I61" s="1033"/>
      <c r="J61" s="1033"/>
      <c r="K61" s="1033"/>
    </row>
    <row r="62" spans="1:11" s="2" customFormat="1">
      <c r="A62" s="1"/>
    </row>
    <row r="63" spans="1:11">
      <c r="B63" s="89" t="s">
        <v>24</v>
      </c>
      <c r="C63" s="39" t="s">
        <v>225</v>
      </c>
      <c r="D63" s="595">
        <f>Data!$C$8</f>
        <v>0.55000000000000004</v>
      </c>
      <c r="E63" s="596">
        <f>Data!$C$8</f>
        <v>0.55000000000000004</v>
      </c>
      <c r="F63" s="596">
        <f>Data!$C$8</f>
        <v>0.55000000000000004</v>
      </c>
      <c r="G63" s="596">
        <f>Data!$C$8</f>
        <v>0.55000000000000004</v>
      </c>
      <c r="H63" s="596">
        <f>Data!$C$8</f>
        <v>0.55000000000000004</v>
      </c>
      <c r="I63" s="2"/>
      <c r="K63" s="131"/>
    </row>
    <row r="64" spans="1:11">
      <c r="B64" s="89" t="s">
        <v>447</v>
      </c>
      <c r="C64" s="39" t="s">
        <v>225</v>
      </c>
      <c r="D64" s="596">
        <f>'R6 - Net Debt'!D65</f>
        <v>0.53390579254739479</v>
      </c>
      <c r="E64" s="596">
        <f>'R6 - Net Debt'!E65</f>
        <v>0.52603383597230968</v>
      </c>
      <c r="F64" s="596">
        <f>'R6 - Net Debt'!F65</f>
        <v>0.54229935046640176</v>
      </c>
      <c r="G64" s="596">
        <f>'R6 - Net Debt'!G65</f>
        <v>0.54304382030922249</v>
      </c>
      <c r="H64" s="596">
        <f>'R6 - Net Debt'!H65</f>
        <v>0.54552093447284777</v>
      </c>
      <c r="I64" s="2" t="s">
        <v>448</v>
      </c>
      <c r="K64" s="131"/>
    </row>
    <row r="65" spans="2:12">
      <c r="B65" s="89"/>
      <c r="C65" s="39"/>
      <c r="D65" s="39"/>
      <c r="E65" s="39"/>
      <c r="F65" s="39"/>
      <c r="G65" s="39"/>
      <c r="H65" s="39"/>
      <c r="I65" s="2"/>
      <c r="K65" s="131"/>
    </row>
    <row r="66" spans="2:12">
      <c r="B66" s="89" t="s">
        <v>441</v>
      </c>
      <c r="C66" s="76" t="s">
        <v>261</v>
      </c>
      <c r="D66" s="47">
        <f t="shared" ref="D66:H66" si="10">D40</f>
        <v>-37.721726147042489</v>
      </c>
      <c r="E66" s="48">
        <f t="shared" si="10"/>
        <v>-203.61876691189622</v>
      </c>
      <c r="F66" s="48">
        <f t="shared" si="10"/>
        <v>51.74444657577618</v>
      </c>
      <c r="G66" s="48">
        <f t="shared" si="10"/>
        <v>147.56486338142693</v>
      </c>
      <c r="H66" s="48">
        <f t="shared" si="10"/>
        <v>144.17126149312062</v>
      </c>
    </row>
    <row r="67" spans="2:12">
      <c r="B67" s="89" t="s">
        <v>449</v>
      </c>
      <c r="C67" s="76" t="s">
        <v>261</v>
      </c>
      <c r="D67" s="47">
        <f>((D63-D64)/D64)*D66</f>
        <v>-1.1370943985908779</v>
      </c>
      <c r="E67" s="47">
        <f t="shared" ref="E67:H67" si="11">((E63-E64)/E64)*E66</f>
        <v>-9.2768951980180905</v>
      </c>
      <c r="F67" s="47">
        <f t="shared" si="11"/>
        <v>0.73477102277064044</v>
      </c>
      <c r="G67" s="47">
        <f t="shared" si="11"/>
        <v>1.8902483875826797</v>
      </c>
      <c r="H67" s="47">
        <f t="shared" si="11"/>
        <v>1.1837355572502473</v>
      </c>
      <c r="K67" s="131"/>
    </row>
    <row r="68" spans="2:12">
      <c r="B68" s="89" t="s">
        <v>450</v>
      </c>
      <c r="C68" s="76" t="s">
        <v>261</v>
      </c>
      <c r="D68" s="51">
        <f>SUM(D66:D67)</f>
        <v>-38.858820545633364</v>
      </c>
      <c r="E68" s="52">
        <f t="shared" ref="E68:H68" si="12">SUM(E66:E67)</f>
        <v>-212.8956621099143</v>
      </c>
      <c r="F68" s="52">
        <f t="shared" si="12"/>
        <v>52.479217598546818</v>
      </c>
      <c r="G68" s="52">
        <f t="shared" si="12"/>
        <v>149.45511176900962</v>
      </c>
      <c r="H68" s="52">
        <f t="shared" si="12"/>
        <v>145.35499705037088</v>
      </c>
    </row>
    <row r="69" spans="2:12">
      <c r="B69" s="89"/>
      <c r="C69" s="76"/>
      <c r="D69" s="76"/>
      <c r="E69" s="76"/>
      <c r="F69" s="76"/>
      <c r="G69" s="76"/>
      <c r="H69" s="76"/>
      <c r="I69" s="76"/>
      <c r="J69" s="76"/>
      <c r="K69" s="76"/>
      <c r="L69" s="76"/>
    </row>
    <row r="70" spans="2:12">
      <c r="B70" s="467" t="s">
        <v>450</v>
      </c>
      <c r="C70" s="78" t="str">
        <f>Data!$C$9</f>
        <v>£m 18/19</v>
      </c>
      <c r="D70" s="72">
        <f>D68/D42</f>
        <v>-35.821727987933507</v>
      </c>
      <c r="E70" s="73">
        <f t="shared" ref="E70:H70" si="13">E68/E42</f>
        <v>-182.24073496538844</v>
      </c>
      <c r="F70" s="73">
        <f t="shared" si="13"/>
        <v>43.477078954394628</v>
      </c>
      <c r="G70" s="73">
        <f t="shared" si="13"/>
        <v>121.75497394748879</v>
      </c>
      <c r="H70" s="73">
        <f t="shared" si="13"/>
        <v>116.19489897837779</v>
      </c>
      <c r="I70" s="448">
        <f>SUM(D70:INDEX(D70:H70,0,MATCH('RFPR cover'!$C$9,$D$6:$H$6,0)))</f>
        <v>-35.821727987933507</v>
      </c>
      <c r="J70" s="449">
        <f>SUM(D70:H70)</f>
        <v>63.364488926939245</v>
      </c>
    </row>
    <row r="71" spans="2:12">
      <c r="B71" s="89" t="s">
        <v>451</v>
      </c>
      <c r="C71" s="39" t="str">
        <f>Data!$C$9</f>
        <v>£m 18/19</v>
      </c>
      <c r="D71" s="47">
        <f>D57*((D63-D64)/D64)+D57</f>
        <v>0</v>
      </c>
      <c r="E71" s="47">
        <f t="shared" ref="E71:H71" si="14">E57*((E63-E64)/E64)+E57</f>
        <v>0</v>
      </c>
      <c r="F71" s="47">
        <f t="shared" si="14"/>
        <v>0</v>
      </c>
      <c r="G71" s="47">
        <f t="shared" si="14"/>
        <v>0</v>
      </c>
      <c r="H71" s="47">
        <f t="shared" si="14"/>
        <v>0</v>
      </c>
      <c r="I71" s="446">
        <f>SUM(D71:INDEX(D71:H71,0,MATCH('RFPR cover'!$C$9,$D$6:$H$6,0)))</f>
        <v>0</v>
      </c>
      <c r="J71" s="447">
        <f>SUM(D71:H71)</f>
        <v>0</v>
      </c>
      <c r="K71" s="39"/>
    </row>
    <row r="73" spans="2:12">
      <c r="B73" s="541" t="s">
        <v>452</v>
      </c>
      <c r="C73" s="542"/>
      <c r="D73" s="542"/>
      <c r="E73" s="542"/>
      <c r="F73" s="542"/>
      <c r="G73" s="542"/>
      <c r="H73" s="542"/>
      <c r="I73" s="542"/>
      <c r="J73" s="542"/>
      <c r="K73" s="542"/>
      <c r="L73" s="39"/>
    </row>
    <row r="74" spans="2:12">
      <c r="B74" s="543"/>
      <c r="C74" s="39"/>
      <c r="D74" s="39"/>
      <c r="E74" s="39"/>
      <c r="F74" s="39"/>
      <c r="G74" s="39"/>
      <c r="H74" s="39"/>
      <c r="I74" s="39"/>
      <c r="J74" s="39"/>
      <c r="K74" s="39"/>
      <c r="L74" s="39"/>
    </row>
    <row r="75" spans="2:12">
      <c r="B75" s="182" t="s">
        <v>453</v>
      </c>
      <c r="C75" s="181"/>
      <c r="D75" s="181"/>
      <c r="E75" s="181"/>
      <c r="F75" s="181"/>
      <c r="G75" s="181"/>
      <c r="H75" s="181"/>
      <c r="I75" s="181"/>
      <c r="J75" s="181"/>
      <c r="K75" s="181"/>
      <c r="L75" s="39"/>
    </row>
    <row r="76" spans="2:12">
      <c r="B76" s="185"/>
      <c r="C76" s="185"/>
      <c r="D76" s="185"/>
      <c r="E76" s="185"/>
      <c r="F76" s="185"/>
      <c r="G76" s="185"/>
      <c r="H76" s="185"/>
      <c r="I76" s="185"/>
      <c r="J76" s="185"/>
      <c r="K76" s="185"/>
      <c r="L76" s="39"/>
    </row>
    <row r="77" spans="2:12">
      <c r="B77" s="89" t="s">
        <v>454</v>
      </c>
      <c r="C77" s="39" t="str">
        <f>Data!$C$9</f>
        <v>£m 18/19</v>
      </c>
      <c r="D77" s="1037">
        <f>'R7 - RAV'!E43</f>
        <v>155.96624722407856</v>
      </c>
      <c r="E77" s="1037">
        <f>'R7 - RAV'!F43</f>
        <v>148.45415101612946</v>
      </c>
      <c r="F77" s="1037">
        <f>'R7 - RAV'!G43</f>
        <v>147.80819149632671</v>
      </c>
      <c r="G77" s="1037">
        <f>'R7 - RAV'!H43</f>
        <v>147.62927986123239</v>
      </c>
      <c r="H77" s="1037">
        <f>'R7 - RAV'!I43</f>
        <v>148.92789573409434</v>
      </c>
      <c r="I77" s="185"/>
      <c r="J77" s="638"/>
      <c r="L77" s="39"/>
    </row>
    <row r="78" spans="2:12">
      <c r="B78" s="89"/>
      <c r="C78" s="39"/>
      <c r="D78" s="546"/>
      <c r="E78" s="546"/>
      <c r="F78" s="546"/>
      <c r="G78" s="546"/>
      <c r="H78" s="546"/>
      <c r="I78" s="185"/>
      <c r="J78" s="544"/>
      <c r="L78" s="39"/>
    </row>
    <row r="79" spans="2:12">
      <c r="B79" s="89"/>
      <c r="C79" s="39"/>
      <c r="D79" s="546"/>
      <c r="E79" s="547"/>
      <c r="F79" s="547"/>
      <c r="G79" s="547"/>
      <c r="H79" s="547"/>
      <c r="I79" s="544"/>
      <c r="J79" s="544"/>
      <c r="L79" s="39"/>
    </row>
    <row r="80" spans="2:12">
      <c r="B80" s="548" t="s">
        <v>455</v>
      </c>
      <c r="C80" s="542"/>
      <c r="D80" s="542"/>
      <c r="E80" s="542"/>
      <c r="F80" s="542"/>
      <c r="G80" s="542"/>
      <c r="H80" s="542"/>
      <c r="I80" s="542"/>
      <c r="J80" s="542"/>
      <c r="K80" s="542"/>
    </row>
    <row r="81" spans="2:11">
      <c r="B81" s="89"/>
      <c r="C81" s="39"/>
      <c r="D81" s="39"/>
      <c r="E81" s="39"/>
      <c r="F81" s="39"/>
      <c r="G81" s="39"/>
      <c r="H81" s="39"/>
      <c r="I81" s="39"/>
      <c r="J81" s="39"/>
      <c r="K81" s="39"/>
    </row>
    <row r="82" spans="2:11">
      <c r="B82" s="8" t="s">
        <v>456</v>
      </c>
      <c r="C82" s="39"/>
      <c r="D82" s="39"/>
      <c r="E82" s="39"/>
      <c r="F82" s="39"/>
      <c r="G82" s="39"/>
      <c r="H82" s="39"/>
      <c r="I82" s="39"/>
      <c r="J82" s="39"/>
      <c r="K82" s="39"/>
    </row>
    <row r="83" spans="2:11">
      <c r="B83" s="89" t="s">
        <v>457</v>
      </c>
      <c r="C83" s="39" t="str">
        <f>Data!$C$9</f>
        <v>£m 18/19</v>
      </c>
      <c r="D83" s="72">
        <f>D77-D44-D57</f>
        <v>190.73975280919643</v>
      </c>
      <c r="E83" s="72">
        <f>E77-E44-E57</f>
        <v>322.75377444205003</v>
      </c>
      <c r="F83" s="72">
        <f>F77-F44-F57</f>
        <v>104.93984299242732</v>
      </c>
      <c r="G83" s="72">
        <f>G77-G44-G57</f>
        <v>27.414214053788456</v>
      </c>
      <c r="H83" s="72">
        <f>H77-H44-H57</f>
        <v>33.679259603798357</v>
      </c>
      <c r="I83" s="448">
        <f>SUM(D83:INDEX(D83:H83,0,MATCH('RFPR cover'!$C$9,$D$6:$H$6,0)))</f>
        <v>190.73975280919643</v>
      </c>
      <c r="J83" s="449">
        <f>SUM(D83:H83)</f>
        <v>679.52684390126046</v>
      </c>
      <c r="K83" s="39"/>
    </row>
    <row r="84" spans="2:11">
      <c r="B84" s="89"/>
      <c r="K84" s="39"/>
    </row>
    <row r="85" spans="2:11">
      <c r="B85" s="89" t="s">
        <v>458</v>
      </c>
      <c r="C85" s="39" t="str">
        <f>Data!$C$9</f>
        <v>£m 18/19</v>
      </c>
      <c r="D85" s="72">
        <f>D77-D70-D71</f>
        <v>191.78797521201207</v>
      </c>
      <c r="E85" s="1334">
        <f>E77-E70-E71</f>
        <v>330.69488598151793</v>
      </c>
      <c r="F85" s="1334">
        <f>F77-F70-F71</f>
        <v>104.33111254193209</v>
      </c>
      <c r="G85" s="1334">
        <f>G77-G70-G71</f>
        <v>25.874305913743598</v>
      </c>
      <c r="H85" s="1334">
        <f>H77-H70-H71</f>
        <v>32.732996755716542</v>
      </c>
      <c r="I85" s="448">
        <f>SUM(D85:INDEX(D85:H85,0,MATCH('RFPR cover'!$C$9,$D$6:$H$6,0)))</f>
        <v>191.78797521201207</v>
      </c>
      <c r="J85" s="449">
        <f>SUM(D85:H85)</f>
        <v>685.42127640492208</v>
      </c>
      <c r="K85" s="39"/>
    </row>
    <row r="86" spans="2:11">
      <c r="B86" s="89"/>
      <c r="K86" s="39"/>
    </row>
    <row r="87" spans="2:11">
      <c r="B87" s="89" t="s">
        <v>459</v>
      </c>
      <c r="C87" s="39" t="str">
        <f>Data!$C$9</f>
        <v>£m 18/19</v>
      </c>
      <c r="D87" s="72">
        <f>D83-D85</f>
        <v>-1.0482224028156395</v>
      </c>
      <c r="E87" s="72">
        <f t="shared" ref="E87:H87" si="15">E83-E85</f>
        <v>-7.9411115394678973</v>
      </c>
      <c r="F87" s="72">
        <f t="shared" si="15"/>
        <v>0.60873045049523</v>
      </c>
      <c r="G87" s="72">
        <f t="shared" si="15"/>
        <v>1.539908140044858</v>
      </c>
      <c r="H87" s="72">
        <f t="shared" si="15"/>
        <v>0.94626284808181538</v>
      </c>
      <c r="I87" s="448">
        <f>SUM(D87:INDEX(D87:H87,0,MATCH('RFPR cover'!$C$9,$D$6:$H$6,0)))</f>
        <v>-1.0482224028156395</v>
      </c>
      <c r="J87" s="449">
        <f>SUM(D87:H87)</f>
        <v>-5.8944325036616334</v>
      </c>
      <c r="K87" s="39"/>
    </row>
    <row r="88" spans="2:11">
      <c r="K88" s="39"/>
    </row>
    <row r="89" spans="2:11">
      <c r="K89" s="39"/>
    </row>
    <row r="90" spans="2:11">
      <c r="K90" s="39"/>
    </row>
    <row r="91" spans="2:11">
      <c r="K91" s="39"/>
    </row>
  </sheetData>
  <sheetProtection algorithmName="SHA-512" hashValue="zVfjaizPyZNNHP2+HjGHghnAIi+4GCJGLZwlGHyuRjdJ0pzBuoa5/HPBWYO6pa+6fW+Hg6C7OXCm/b0sL+MY1w==" saltValue="F1/l2sZH0qlVNsWdOunwyA==" spinCount="100000" sheet="1" formatCells="0" formatColumns="0" formatRows="0" insertColumns="0" insertRows="0" insertHyperlinks="0" deleteColumns="0" deleteRows="0" sort="0" autoFilter="0" pivotTables="0"/>
  <conditionalFormatting sqref="D48">
    <cfRule type="expression" dxfId="36" priority="4">
      <formula>C$12="N/A"</formula>
    </cfRule>
  </conditionalFormatting>
  <conditionalFormatting sqref="D48">
    <cfRule type="expression" dxfId="35" priority="3">
      <formula>D$5="Forecast"</formula>
    </cfRule>
  </conditionalFormatting>
  <conditionalFormatting sqref="D30">
    <cfRule type="expression" dxfId="34" priority="2">
      <formula>C$12="N/A"</formula>
    </cfRule>
  </conditionalFormatting>
  <conditionalFormatting sqref="D30">
    <cfRule type="expression" dxfId="33" priority="1">
      <formula>D$5="Forecast"</formula>
    </cfRule>
  </conditionalFormatting>
  <pageMargins left="0.70866141732283472" right="0.70866141732283472" top="0.74803149606299213" bottom="0.74803149606299213" header="0.31496062992125984" footer="0.31496062992125984"/>
  <pageSetup paperSize="8" scale="66" orientation="landscape" r:id="rId1"/>
  <headerFooter>
    <oddFooter>&amp;C_x000D_&amp;1#&amp;"Calibri"&amp;10&amp;K000000 OFFICIAL-InternalOnly</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FFCC"/>
  </sheetPr>
  <dimension ref="A1:XES906"/>
  <sheetViews>
    <sheetView showGridLines="0" zoomScale="50" zoomScaleNormal="50" zoomScaleSheetLayoutView="70" workbookViewId="0">
      <pane ySplit="9" topLeftCell="A634" activePane="bottomLeft" state="frozen"/>
      <selection activeCell="B9" sqref="B9"/>
      <selection pane="bottomLeft" activeCell="B644" sqref="B644:B647"/>
    </sheetView>
  </sheetViews>
  <sheetFormatPr defaultColWidth="0" defaultRowHeight="13.5" outlineLevelRow="1" outlineLevelCol="1"/>
  <cols>
    <col min="1" max="1" width="9.3828125" style="151" customWidth="1"/>
    <col min="2" max="2" width="5.3828125" style="151" customWidth="1"/>
    <col min="3" max="3" width="13.15234375" style="151" customWidth="1"/>
    <col min="4" max="4" width="16.3828125" style="151" customWidth="1"/>
    <col min="5" max="5" width="17.15234375" style="151" customWidth="1"/>
    <col min="6" max="6" width="16.61328125" style="151" customWidth="1"/>
    <col min="7" max="7" width="16.4609375" style="151" customWidth="1"/>
    <col min="8" max="8" width="15.765625" style="151" customWidth="1"/>
    <col min="9" max="9" width="14.765625" style="151" customWidth="1"/>
    <col min="10" max="11" width="2.84375" style="151" customWidth="1"/>
    <col min="12" max="12" width="9.15234375" style="151" customWidth="1"/>
    <col min="13" max="20" width="10.84375" style="151" customWidth="1" outlineLevel="1"/>
    <col min="21" max="21" width="10.84375" style="151" customWidth="1"/>
    <col min="22" max="22" width="10.84375" style="151" customWidth="1" outlineLevel="1"/>
    <col min="23" max="23" width="5" style="151" customWidth="1"/>
    <col min="24" max="16373" width="0" style="151" hidden="1"/>
    <col min="16374" max="16384" width="9.15234375" style="151" hidden="1"/>
  </cols>
  <sheetData>
    <row r="1" spans="1:34" customFormat="1" ht="20">
      <c r="A1" s="1170" t="s">
        <v>179</v>
      </c>
      <c r="B1" s="751"/>
      <c r="C1" s="751"/>
      <c r="D1" s="752"/>
      <c r="E1" s="752"/>
      <c r="F1" s="752"/>
      <c r="G1" s="752"/>
      <c r="H1" s="762"/>
      <c r="I1" s="762"/>
      <c r="J1" s="753"/>
      <c r="K1" s="753"/>
      <c r="L1" s="753"/>
      <c r="M1" s="753"/>
      <c r="N1" s="753"/>
      <c r="O1" s="753"/>
      <c r="P1" s="753"/>
      <c r="Q1" s="753"/>
      <c r="R1" s="753"/>
      <c r="S1" s="753"/>
      <c r="T1" s="753"/>
      <c r="U1" s="753"/>
      <c r="V1" s="753"/>
      <c r="W1" s="1179"/>
    </row>
    <row r="2" spans="1:34" customFormat="1" ht="20">
      <c r="A2" s="644" t="str">
        <f>Licensee</f>
        <v>NGET (TO)</v>
      </c>
      <c r="B2" s="639"/>
      <c r="C2" s="639"/>
      <c r="D2" s="16"/>
      <c r="E2" s="16"/>
      <c r="F2" s="16"/>
      <c r="G2" s="16"/>
      <c r="H2" s="15"/>
      <c r="I2" s="15"/>
      <c r="J2" s="15"/>
      <c r="K2" s="15"/>
      <c r="L2" s="15"/>
      <c r="M2" s="15"/>
      <c r="N2" s="15"/>
      <c r="O2" s="15"/>
      <c r="P2" s="15"/>
      <c r="Q2" s="15"/>
      <c r="R2" s="15"/>
      <c r="S2" s="15"/>
      <c r="T2" s="15"/>
      <c r="U2" s="15"/>
      <c r="V2" s="15"/>
      <c r="W2" s="66"/>
    </row>
    <row r="3" spans="1:34" customFormat="1" ht="20">
      <c r="A3" s="639">
        <f>Reporting_Year</f>
        <v>2022</v>
      </c>
      <c r="B3" s="976" t="str">
        <f>'R5 - Financing'!B3</f>
        <v/>
      </c>
      <c r="C3" s="972"/>
      <c r="D3" s="972"/>
      <c r="E3" s="972"/>
      <c r="F3" s="972"/>
      <c r="G3" s="963"/>
      <c r="H3" s="964"/>
      <c r="I3" s="964"/>
      <c r="J3" s="964"/>
      <c r="K3" s="964"/>
      <c r="L3" s="964"/>
      <c r="M3" s="964"/>
      <c r="N3" s="964"/>
      <c r="O3" s="964"/>
      <c r="P3" s="964"/>
      <c r="Q3" s="964"/>
      <c r="R3" s="964"/>
      <c r="S3" s="964"/>
      <c r="T3" s="964"/>
      <c r="U3" s="964"/>
      <c r="V3" s="964"/>
      <c r="W3" s="120"/>
    </row>
    <row r="4" spans="1:34" s="141" customFormat="1" ht="16">
      <c r="A4" s="139"/>
      <c r="B4" s="146" t="s">
        <v>460</v>
      </c>
      <c r="C4" s="814"/>
      <c r="D4" s="815"/>
      <c r="E4" s="816"/>
      <c r="F4" s="816"/>
      <c r="G4" s="816"/>
      <c r="H4" s="816"/>
      <c r="I4" s="816"/>
      <c r="J4" s="816"/>
      <c r="K4" s="816"/>
      <c r="L4" s="817"/>
      <c r="M4" s="817"/>
      <c r="N4" s="817"/>
      <c r="O4" s="817"/>
      <c r="P4" s="817"/>
      <c r="R4" s="143"/>
      <c r="T4" s="144"/>
      <c r="U4" s="144"/>
      <c r="V4" s="144"/>
    </row>
    <row r="5" spans="1:34" s="145" customFormat="1" ht="16">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row>
    <row r="6" spans="1:34" s="145" customFormat="1" ht="16">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row>
    <row r="7" spans="1:34" s="142" customFormat="1" ht="15">
      <c r="A7" s="139"/>
      <c r="B7" s="140" t="s">
        <v>261</v>
      </c>
      <c r="C7" s="141"/>
      <c r="D7" s="139"/>
      <c r="M7" s="1385" t="s">
        <v>461</v>
      </c>
      <c r="N7" s="1386"/>
      <c r="O7" s="1386"/>
      <c r="P7" s="1386"/>
      <c r="Q7" s="1387"/>
      <c r="R7" s="1388" t="s">
        <v>462</v>
      </c>
      <c r="S7" s="1389"/>
      <c r="T7" s="1389"/>
      <c r="U7" s="1389"/>
      <c r="V7" s="1390"/>
    </row>
    <row r="8" spans="1:34" s="141" customFormat="1" ht="15">
      <c r="B8" s="149"/>
      <c r="C8" s="150"/>
      <c r="D8" s="151"/>
      <c r="E8" s="151"/>
      <c r="F8" s="151"/>
      <c r="G8" s="151"/>
      <c r="H8" s="151"/>
      <c r="I8" s="151"/>
      <c r="J8" s="151"/>
      <c r="K8" s="151"/>
      <c r="L8" s="151"/>
      <c r="M8" s="786" t="str">
        <f>IF(M9&lt;='RFPR cover'!$C$9,"Actuals","Forecast")</f>
        <v>Actuals</v>
      </c>
      <c r="N8" s="980" t="str">
        <f>IF(N9&lt;='RFPR cover'!$C$9,"Actuals","Forecast")</f>
        <v>Forecast</v>
      </c>
      <c r="O8" s="980" t="str">
        <f>IF(O9&lt;='RFPR cover'!$C$9,"Actuals","Forecast")</f>
        <v>Forecast</v>
      </c>
      <c r="P8" s="980" t="str">
        <f>IF(P9&lt;='RFPR cover'!$C$9,"Actuals","Forecast")</f>
        <v>Forecast</v>
      </c>
      <c r="Q8" s="980" t="str">
        <f>IF(Q9&lt;='RFPR cover'!$C$9,"Actuals","Forecast")</f>
        <v>Forecast</v>
      </c>
      <c r="R8" s="980" t="str">
        <f>IF(R9&lt;='RFPR cover'!$C$9,"Actuals","Forecast")</f>
        <v>Forecast</v>
      </c>
      <c r="S8" s="980" t="str">
        <f>IF(S9&lt;='RFPR cover'!$C$9,"Actuals","Forecast")</f>
        <v>Forecast</v>
      </c>
      <c r="T8" s="980" t="str">
        <f>IF(T9&lt;='RFPR cover'!$C$9,"Actuals","Forecast")</f>
        <v>Forecast</v>
      </c>
      <c r="U8" s="382" t="str">
        <f>IF(U9&lt;='RFPR cover'!$C$9,"Actuals","Forecast")</f>
        <v>Forecast</v>
      </c>
      <c r="V8" s="787" t="str">
        <f>IF(V9&lt;='RFPR cover'!$C$9,"Actuals","Forecast")</f>
        <v>Forecast</v>
      </c>
    </row>
    <row r="9" spans="1:34" s="141" customFormat="1" ht="15">
      <c r="A9" s="151"/>
      <c r="B9" s="151"/>
      <c r="C9" s="150"/>
      <c r="D9" s="151"/>
      <c r="E9" s="151"/>
      <c r="F9" s="151"/>
      <c r="G9" s="151"/>
      <c r="H9" s="151"/>
      <c r="I9" s="151"/>
      <c r="J9" s="151"/>
      <c r="K9" s="151"/>
      <c r="L9" s="271" t="s">
        <v>463</v>
      </c>
      <c r="M9" s="251">
        <f>'RFPR cover'!$C$6</f>
        <v>2022</v>
      </c>
      <c r="N9" s="252">
        <f>M9+1</f>
        <v>2023</v>
      </c>
      <c r="O9" s="252">
        <f t="shared" ref="O9:T9" si="0">N9+1</f>
        <v>2024</v>
      </c>
      <c r="P9" s="252">
        <f t="shared" si="0"/>
        <v>2025</v>
      </c>
      <c r="Q9" s="252">
        <f t="shared" si="0"/>
        <v>2026</v>
      </c>
      <c r="R9" s="252">
        <f t="shared" si="0"/>
        <v>2027</v>
      </c>
      <c r="S9" s="252">
        <f t="shared" si="0"/>
        <v>2028</v>
      </c>
      <c r="T9" s="301">
        <f t="shared" si="0"/>
        <v>2029</v>
      </c>
      <c r="U9" s="302">
        <f>T9+1</f>
        <v>2030</v>
      </c>
      <c r="V9" s="252">
        <f>U9+1</f>
        <v>2031</v>
      </c>
    </row>
    <row r="10" spans="1:34">
      <c r="O10" s="152"/>
      <c r="P10" s="152"/>
      <c r="Q10" s="152"/>
      <c r="R10" s="152"/>
      <c r="S10" s="152"/>
      <c r="T10" s="152"/>
      <c r="U10" s="763"/>
      <c r="V10" s="152"/>
    </row>
    <row r="11" spans="1:34" ht="14">
      <c r="B11" s="254" t="s">
        <v>464</v>
      </c>
      <c r="C11" s="255" t="s">
        <v>465</v>
      </c>
      <c r="D11" s="256"/>
      <c r="E11" s="256"/>
      <c r="F11" s="256"/>
      <c r="G11" s="256"/>
      <c r="H11" s="256"/>
      <c r="I11" s="256"/>
      <c r="J11" s="256"/>
      <c r="K11" s="256"/>
      <c r="L11" s="256"/>
      <c r="M11" s="256"/>
      <c r="N11" s="256"/>
      <c r="O11" s="256"/>
      <c r="P11" s="256"/>
      <c r="Q11" s="256"/>
      <c r="R11" s="256"/>
      <c r="S11" s="256"/>
      <c r="T11" s="256"/>
      <c r="U11" s="280"/>
      <c r="V11" s="256"/>
    </row>
    <row r="12" spans="1:34" ht="14">
      <c r="B12" s="259"/>
      <c r="C12" s="260"/>
      <c r="D12" s="261"/>
      <c r="E12" s="261"/>
      <c r="F12" s="261"/>
      <c r="G12" s="261"/>
      <c r="H12" s="261"/>
      <c r="I12" s="261"/>
      <c r="J12" s="261"/>
      <c r="K12" s="261"/>
      <c r="L12" s="261"/>
      <c r="M12" s="261"/>
      <c r="N12" s="261"/>
      <c r="O12" s="261"/>
      <c r="P12" s="261"/>
      <c r="Q12" s="261"/>
      <c r="R12" s="261"/>
      <c r="S12" s="261"/>
      <c r="T12" s="261"/>
      <c r="U12" s="281"/>
      <c r="V12" s="261"/>
    </row>
    <row r="13" spans="1:34" ht="17.5" outlineLevel="1">
      <c r="B13" s="153"/>
      <c r="C13" s="262" t="s">
        <v>466</v>
      </c>
      <c r="D13" s="263"/>
      <c r="E13" s="263"/>
      <c r="F13" s="263"/>
      <c r="G13" s="263"/>
      <c r="H13" s="263"/>
      <c r="I13" s="263"/>
      <c r="J13" s="263"/>
      <c r="K13" s="263"/>
      <c r="L13" s="263"/>
      <c r="M13" s="263"/>
      <c r="N13" s="263"/>
      <c r="O13" s="263"/>
      <c r="P13" s="263"/>
      <c r="Q13" s="263"/>
      <c r="R13" s="263"/>
      <c r="S13" s="263"/>
      <c r="T13" s="263"/>
      <c r="U13" s="282"/>
      <c r="V13" s="263"/>
    </row>
    <row r="14" spans="1:34" ht="17.5" outlineLevel="1">
      <c r="B14" s="153"/>
      <c r="C14" s="154"/>
      <c r="U14" s="283"/>
    </row>
    <row r="15" spans="1:34" ht="17.5" outlineLevel="1">
      <c r="D15" s="265" t="s">
        <v>467</v>
      </c>
      <c r="E15" s="266"/>
      <c r="F15" s="266"/>
      <c r="G15" s="266"/>
      <c r="H15" s="266"/>
      <c r="I15" s="266"/>
      <c r="J15" s="266"/>
      <c r="K15" s="266"/>
      <c r="L15" s="266"/>
      <c r="M15" s="266"/>
      <c r="N15" s="266"/>
      <c r="O15" s="266"/>
      <c r="P15" s="266"/>
      <c r="Q15" s="266"/>
      <c r="R15" s="266"/>
      <c r="S15" s="266"/>
      <c r="T15" s="266"/>
      <c r="U15" s="284"/>
      <c r="V15" s="266"/>
    </row>
    <row r="16" spans="1:34" ht="17.5" outlineLevel="1">
      <c r="D16" s="154"/>
      <c r="U16" s="283"/>
    </row>
    <row r="17" spans="2:22" ht="40.5" outlineLevel="1">
      <c r="B17" s="1181" t="s">
        <v>468</v>
      </c>
      <c r="C17" s="764" t="str">
        <f>'R6a - Net Debt input'!D23</f>
        <v>Issue date</v>
      </c>
      <c r="D17" s="765" t="str">
        <f>'R6a - Net Debt input'!E23</f>
        <v>Maturity date</v>
      </c>
      <c r="E17" s="765" t="str">
        <f>'R6a - Net Debt input'!F23</f>
        <v>Description</v>
      </c>
      <c r="F17" s="765" t="str">
        <f>'R6a - Net Debt input'!G23</f>
        <v>Bond type</v>
      </c>
      <c r="G17" s="765" t="str">
        <f>'R6a - Net Debt input'!H23</f>
        <v>Payment rank</v>
      </c>
      <c r="H17" s="766" t="str">
        <f>'R6a - Net Debt input'!I23</f>
        <v>Reference rate</v>
      </c>
      <c r="I17" s="767" t="str">
        <f>'R6a - Net Debt input'!J23</f>
        <v>Coupon rate / margin spread on reference rate</v>
      </c>
      <c r="U17" s="283"/>
    </row>
    <row r="18" spans="2:22" outlineLevel="1">
      <c r="B18" s="564"/>
      <c r="C18" s="243" t="str">
        <f>IF('R6a - Net Debt input'!D24 = "","",'R6a - Net Debt input'!D24)</f>
        <v>dd/mm/yyyy</v>
      </c>
      <c r="D18" s="244" t="str">
        <f>IF('R6a - Net Debt input'!E24 = "","",'R6a - Net Debt input'!E24)</f>
        <v>dd/mm/yyyy</v>
      </c>
      <c r="E18" s="244" t="str">
        <f>IF('R6a - Net Debt input'!F24 = "","",'R6a - Net Debt input'!F24)</f>
        <v/>
      </c>
      <c r="F18" s="244" t="str">
        <f>IF('R6a - Net Debt input'!G24 = "","",'R6a - Net Debt input'!G24)</f>
        <v/>
      </c>
      <c r="G18" s="244" t="str">
        <f>IF('R6a - Net Debt input'!H24 = "","",'R6a - Net Debt input'!H24)</f>
        <v/>
      </c>
      <c r="H18" s="244" t="str">
        <f>IF('R6a - Net Debt input'!I24 = "","",'R6a - Net Debt input'!I24)</f>
        <v/>
      </c>
      <c r="I18" s="248" t="str">
        <f>IF('R6a - Net Debt input'!J24 = "","",'R6a - Net Debt input'!J24)</f>
        <v>%</v>
      </c>
      <c r="M18" s="768" t="s">
        <v>469</v>
      </c>
      <c r="N18" s="769" t="s">
        <v>469</v>
      </c>
      <c r="O18" s="769" t="s">
        <v>469</v>
      </c>
      <c r="P18" s="769" t="s">
        <v>469</v>
      </c>
      <c r="Q18" s="769" t="s">
        <v>469</v>
      </c>
      <c r="R18" s="769" t="s">
        <v>469</v>
      </c>
      <c r="S18" s="769" t="s">
        <v>469</v>
      </c>
      <c r="T18" s="770" t="s">
        <v>469</v>
      </c>
      <c r="U18" s="771" t="s">
        <v>469</v>
      </c>
      <c r="V18" s="769" t="s">
        <v>469</v>
      </c>
    </row>
    <row r="19" spans="2:22" outlineLevel="1">
      <c r="B19" s="236" t="s">
        <v>470</v>
      </c>
      <c r="C19" s="203">
        <f>IF('R6a - Net Debt input'!D25 = "","",'R6a - Net Debt input'!D25)</f>
        <v>41179</v>
      </c>
      <c r="D19" s="203">
        <f>IF('R6a - Net Debt input'!E25 = "","",'R6a - Net Debt input'!E25)</f>
        <v>48484</v>
      </c>
      <c r="E19" s="204" t="str">
        <f>IF('R6a - Net Debt input'!F25 = "","",'R6a - Net Debt input'!F25)</f>
        <v>20 YR FIXED RATE DEBT: PAY 3.35000% EUR 100.0 M MAT: 27-SEP-2032</v>
      </c>
      <c r="F19" s="205" t="str">
        <f>IF('R6a - Net Debt input'!G25 = "","",'R6a - Net Debt input'!G25)</f>
        <v>Fixed</v>
      </c>
      <c r="G19" s="533" t="str">
        <f>IF('R6a - Net Debt input'!H25 = "","",'R6a - Net Debt input'!H25)</f>
        <v>Senior</v>
      </c>
      <c r="H19" s="205" t="str">
        <f>IF('R6a - Net Debt input'!I25 = "","",'R6a - Net Debt input'!I25)</f>
        <v>N/A</v>
      </c>
      <c r="I19" s="368">
        <f>IF('R6a - Net Debt input'!J25 = "","",'R6a - Net Debt input'!J25)</f>
        <v>3.3500000000000002E-2</v>
      </c>
      <c r="J19" s="200"/>
      <c r="K19" s="201"/>
      <c r="L19" s="202"/>
      <c r="M19" s="468">
        <v>2.8</v>
      </c>
      <c r="N19" s="468">
        <v>2.81492239</v>
      </c>
      <c r="O19" s="468">
        <v>2.82745581</v>
      </c>
      <c r="P19" s="468">
        <v>2.81685454</v>
      </c>
      <c r="Q19" s="468">
        <v>2.8236567200000002</v>
      </c>
      <c r="R19" s="468">
        <v>2.8226556899999999</v>
      </c>
      <c r="S19" s="468">
        <v>2.82745581</v>
      </c>
      <c r="T19" s="468">
        <v>2.81685454</v>
      </c>
      <c r="U19" s="468">
        <v>2.8236567200000002</v>
      </c>
      <c r="V19" s="468">
        <v>2.8226556899999999</v>
      </c>
    </row>
    <row r="20" spans="2:22" outlineLevel="1">
      <c r="B20" s="236" t="s">
        <v>471</v>
      </c>
      <c r="C20" s="203">
        <f>IF('R6a - Net Debt input'!D26 = "","",'R6a - Net Debt input'!D26)</f>
        <v>41304</v>
      </c>
      <c r="D20" s="203">
        <f>IF('R6a - Net Debt input'!E26 = "","",'R6a - Net Debt input'!E26)</f>
        <v>49339</v>
      </c>
      <c r="E20" s="204" t="str">
        <f>IF('R6a - Net Debt input'!F26 = "","",'R6a - Net Debt input'!F26)</f>
        <v>22 YR FIXED RATE DEBT: PAY 3.21000% EUR 100.0 M MAT: 30-JAN-2035</v>
      </c>
      <c r="F20" s="205" t="str">
        <f>IF('R6a - Net Debt input'!G26 = "","",'R6a - Net Debt input'!G26)</f>
        <v>Fixed</v>
      </c>
      <c r="G20" s="533" t="str">
        <f>IF('R6a - Net Debt input'!H26 = "","",'R6a - Net Debt input'!H26)</f>
        <v>Senior</v>
      </c>
      <c r="H20" s="205" t="str">
        <f>IF('R6a - Net Debt input'!I26 = "","",'R6a - Net Debt input'!I26)</f>
        <v>N/A</v>
      </c>
      <c r="I20" s="368">
        <f>IF('R6a - Net Debt input'!J26 = "","",'R6a - Net Debt input'!J26)</f>
        <v>3.2099999999999997E-2</v>
      </c>
      <c r="J20" s="200"/>
      <c r="K20" s="201"/>
      <c r="L20" s="202"/>
      <c r="M20" s="468">
        <v>2.7</v>
      </c>
      <c r="N20" s="468">
        <v>2.6973803799999998</v>
      </c>
      <c r="O20" s="468">
        <v>2.7106746899999998</v>
      </c>
      <c r="P20" s="468">
        <v>2.6986167000000001</v>
      </c>
      <c r="Q20" s="468">
        <v>2.7046939600000002</v>
      </c>
      <c r="R20" s="468">
        <v>2.7047905000000001</v>
      </c>
      <c r="S20" s="468">
        <v>2.7106746899999998</v>
      </c>
      <c r="T20" s="468">
        <v>2.6986167000000001</v>
      </c>
      <c r="U20" s="468">
        <v>2.7046939600000002</v>
      </c>
      <c r="V20" s="468">
        <v>2.7047905000000001</v>
      </c>
    </row>
    <row r="21" spans="2:22" outlineLevel="1">
      <c r="B21" s="236" t="s">
        <v>472</v>
      </c>
      <c r="C21" s="203">
        <f>IF('R6a - Net Debt input'!D27 = "","",'R6a - Net Debt input'!D27)</f>
        <v>36193</v>
      </c>
      <c r="D21" s="203">
        <f>IF('R6a - Net Debt input'!E27 = "","",'R6a - Net Debt input'!E27)</f>
        <v>45324</v>
      </c>
      <c r="E21" s="204" t="str">
        <f>IF('R6a - Net Debt input'!F27 = "","",'R6a - Net Debt input'!F27)</f>
        <v>25 YR FIXED RATE DEBT: PAY 5.87500% GBP 444.5 M MAT: 02-FEB-2024</v>
      </c>
      <c r="F21" s="205" t="str">
        <f>IF('R6a - Net Debt input'!G27 = "","",'R6a - Net Debt input'!G27)</f>
        <v>Fixed</v>
      </c>
      <c r="G21" s="533" t="str">
        <f>IF('R6a - Net Debt input'!H27 = "","",'R6a - Net Debt input'!H27)</f>
        <v>Senior</v>
      </c>
      <c r="H21" s="205" t="str">
        <f>IF('R6a - Net Debt input'!I27 = "","",'R6a - Net Debt input'!I27)</f>
        <v>N/A</v>
      </c>
      <c r="I21" s="368">
        <f>IF('R6a - Net Debt input'!J27 = "","",'R6a - Net Debt input'!J27)</f>
        <v>5.8749999999999997E-2</v>
      </c>
      <c r="J21" s="200"/>
      <c r="K21" s="201"/>
      <c r="L21" s="202"/>
      <c r="M21" s="468">
        <v>8.6999999999999993</v>
      </c>
      <c r="N21" s="468">
        <v>8.6735510300000005</v>
      </c>
      <c r="O21" s="468">
        <v>7.2964133899999997</v>
      </c>
      <c r="P21" s="468">
        <v>0</v>
      </c>
      <c r="Q21" s="468">
        <v>0</v>
      </c>
      <c r="R21" s="468">
        <v>0</v>
      </c>
      <c r="S21" s="468">
        <v>0</v>
      </c>
      <c r="T21" s="468">
        <v>0</v>
      </c>
      <c r="U21" s="468">
        <v>0</v>
      </c>
      <c r="V21" s="468">
        <v>0</v>
      </c>
    </row>
    <row r="22" spans="2:22" outlineLevel="1">
      <c r="B22" s="236" t="s">
        <v>473</v>
      </c>
      <c r="C22" s="203">
        <f>IF('R6a - Net Debt input'!D28 = "","",'R6a - Net Debt input'!D28)</f>
        <v>37099</v>
      </c>
      <c r="D22" s="203">
        <f>IF('R6a - Net Debt input'!E28 = "","",'R6a - Net Debt input'!E28)</f>
        <v>46961</v>
      </c>
      <c r="E22" s="204" t="str">
        <f>IF('R6a - Net Debt input'!F28 = "","",'R6a - Net Debt input'!F28)</f>
        <v>27 YR FIXED RATE DEBT: PAY 6.50000% GBP 297.819M MAT: 07/27/28</v>
      </c>
      <c r="F22" s="205" t="str">
        <f>IF('R6a - Net Debt input'!G28 = "","",'R6a - Net Debt input'!G28)</f>
        <v>Fixed</v>
      </c>
      <c r="G22" s="533" t="str">
        <f>IF('R6a - Net Debt input'!H28 = "","",'R6a - Net Debt input'!H28)</f>
        <v>Senior</v>
      </c>
      <c r="H22" s="205" t="str">
        <f>IF('R6a - Net Debt input'!I28 = "","",'R6a - Net Debt input'!I28)</f>
        <v>N/A</v>
      </c>
      <c r="I22" s="368">
        <f>IF('R6a - Net Debt input'!J28 = "","",'R6a - Net Debt input'!J28)</f>
        <v>6.5000000000000002E-2</v>
      </c>
      <c r="J22" s="200"/>
      <c r="K22" s="201"/>
      <c r="L22" s="202"/>
      <c r="M22" s="468">
        <v>3.6</v>
      </c>
      <c r="N22" s="468">
        <v>3.5853002699999998</v>
      </c>
      <c r="O22" s="468">
        <v>3.5996948600000001</v>
      </c>
      <c r="P22" s="468">
        <v>3.5892288699999999</v>
      </c>
      <c r="Q22" s="468">
        <v>3.59652627</v>
      </c>
      <c r="R22" s="468">
        <v>3.5951499999999998</v>
      </c>
      <c r="S22" s="468">
        <v>3.5996948600000001</v>
      </c>
      <c r="T22" s="468">
        <v>1.1577228100000001</v>
      </c>
      <c r="U22" s="468">
        <v>0</v>
      </c>
      <c r="V22" s="468">
        <v>0</v>
      </c>
    </row>
    <row r="23" spans="2:22" outlineLevel="1">
      <c r="B23" s="236" t="s">
        <v>474</v>
      </c>
      <c r="C23" s="203">
        <f>IF('R6a - Net Debt input'!D29 = "","",'R6a - Net Debt input'!D29)</f>
        <v>38412</v>
      </c>
      <c r="D23" s="203">
        <f>IF('R6a - Net Debt input'!E29 = "","",'R6a - Net Debt input'!E29)</f>
        <v>49369</v>
      </c>
      <c r="E23" s="204" t="str">
        <f>IF('R6a - Net Debt input'!F29 = "","",'R6a - Net Debt input'!F29)</f>
        <v>30 YR FIXED RATE DEBT: PAY 5.00000% GBP 75.0 M MAT: 01-MAR-2035</v>
      </c>
      <c r="F23" s="205" t="str">
        <f>IF('R6a - Net Debt input'!G29 = "","",'R6a - Net Debt input'!G29)</f>
        <v>Fixed</v>
      </c>
      <c r="G23" s="533" t="str">
        <f>IF('R6a - Net Debt input'!H29 = "","",'R6a - Net Debt input'!H29)</f>
        <v>Senior</v>
      </c>
      <c r="H23" s="205" t="str">
        <f>IF('R6a - Net Debt input'!I29 = "","",'R6a - Net Debt input'!I29)</f>
        <v>N/A</v>
      </c>
      <c r="I23" s="368">
        <f>IF('R6a - Net Debt input'!J29 = "","",'R6a - Net Debt input'!J29)</f>
        <v>0.05</v>
      </c>
      <c r="J23" s="200"/>
      <c r="K23" s="201"/>
      <c r="L23" s="202"/>
      <c r="M23" s="468">
        <v>1.4</v>
      </c>
      <c r="N23" s="468">
        <v>1.4339853600000001</v>
      </c>
      <c r="O23" s="468">
        <v>1.43844628</v>
      </c>
      <c r="P23" s="468">
        <v>1.4382047</v>
      </c>
      <c r="Q23" s="468">
        <v>1.4381922</v>
      </c>
      <c r="R23" s="468">
        <v>1.43792561</v>
      </c>
      <c r="S23" s="468">
        <v>1.43844628</v>
      </c>
      <c r="T23" s="468">
        <v>1.4382047</v>
      </c>
      <c r="U23" s="468">
        <v>1.4381922</v>
      </c>
      <c r="V23" s="468">
        <v>1.43792561</v>
      </c>
    </row>
    <row r="24" spans="2:22" outlineLevel="1">
      <c r="B24" s="236" t="s">
        <v>475</v>
      </c>
      <c r="C24" s="203">
        <f>IF('R6a - Net Debt input'!D30 = "","",'R6a - Net Debt input'!D30)</f>
        <v>39826</v>
      </c>
      <c r="D24" s="203">
        <f>IF('R6a - Net Debt input'!E30 = "","",'R6a - Net Debt input'!E30)</f>
        <v>47861</v>
      </c>
      <c r="E24" s="204" t="str">
        <f>IF('R6a - Net Debt input'!F30 = "","",'R6a - Net Debt input'!F30)</f>
        <v>22 YR FIXED RATE DEBT: PAY 7.37500% GBP 350.0 M MAT: 13-JAN-2031</v>
      </c>
      <c r="F24" s="205" t="str">
        <f>IF('R6a - Net Debt input'!G30 = "","",'R6a - Net Debt input'!G30)</f>
        <v>Fixed</v>
      </c>
      <c r="G24" s="533" t="str">
        <f>IF('R6a - Net Debt input'!H30 = "","",'R6a - Net Debt input'!H30)</f>
        <v>Senior</v>
      </c>
      <c r="H24" s="205" t="str">
        <f>IF('R6a - Net Debt input'!I30 = "","",'R6a - Net Debt input'!I30)</f>
        <v>N/A</v>
      </c>
      <c r="I24" s="368">
        <f>IF('R6a - Net Debt input'!J30 = "","",'R6a - Net Debt input'!J30)</f>
        <v>7.3749999999999996E-2</v>
      </c>
      <c r="J24" s="200"/>
      <c r="K24" s="201"/>
      <c r="L24" s="202"/>
      <c r="M24" s="468">
        <v>6.3</v>
      </c>
      <c r="N24" s="468">
        <v>6.2272725499999995</v>
      </c>
      <c r="O24" s="468">
        <v>6.2574835899999997</v>
      </c>
      <c r="P24" s="468">
        <v>6.2309251300000001</v>
      </c>
      <c r="Q24" s="468">
        <v>6.2442629500000004</v>
      </c>
      <c r="R24" s="468">
        <v>6.2443801199999998</v>
      </c>
      <c r="S24" s="468">
        <v>6.2574835899999997</v>
      </c>
      <c r="T24" s="468">
        <v>6.2309251300000001</v>
      </c>
      <c r="U24" s="468">
        <v>6.2442629500000004</v>
      </c>
      <c r="V24" s="468">
        <v>4.926980079999999</v>
      </c>
    </row>
    <row r="25" spans="2:22" outlineLevel="1">
      <c r="B25" s="236" t="s">
        <v>476</v>
      </c>
      <c r="C25" s="203">
        <f>IF('R6a - Net Debt input'!D31 = "","",'R6a - Net Debt input'!D31)</f>
        <v>41068</v>
      </c>
      <c r="D25" s="203">
        <f>IF('R6a - Net Debt input'!E31 = "","",'R6a - Net Debt input'!E31)</f>
        <v>46546</v>
      </c>
      <c r="E25" s="204" t="str">
        <f>IF('R6a - Net Debt input'!F31 = "","",'R6a - Net Debt input'!F31)</f>
        <v>15 YR FIXED RATE DEBT: PAY 4.00000% GBP 400.0 M MAT: 08-JUN-2027</v>
      </c>
      <c r="F25" s="205" t="str">
        <f>IF('R6a - Net Debt input'!G31 = "","",'R6a - Net Debt input'!G31)</f>
        <v>Fixed</v>
      </c>
      <c r="G25" s="533" t="str">
        <f>IF('R6a - Net Debt input'!H31 = "","",'R6a - Net Debt input'!H31)</f>
        <v>Senior</v>
      </c>
      <c r="H25" s="205" t="str">
        <f>IF('R6a - Net Debt input'!I31 = "","",'R6a - Net Debt input'!I31)</f>
        <v>N/A</v>
      </c>
      <c r="I25" s="368">
        <f>IF('R6a - Net Debt input'!J31 = "","",'R6a - Net Debt input'!J31)</f>
        <v>0.04</v>
      </c>
      <c r="J25" s="200"/>
      <c r="K25" s="201"/>
      <c r="L25" s="202"/>
      <c r="M25" s="468">
        <v>5.2</v>
      </c>
      <c r="N25" s="468">
        <v>5.1340621200000003</v>
      </c>
      <c r="O25" s="468">
        <v>5.1524503399999997</v>
      </c>
      <c r="P25" s="468">
        <v>5.1424013799999999</v>
      </c>
      <c r="Q25" s="468">
        <v>5.1496483500000005</v>
      </c>
      <c r="R25" s="468">
        <v>5.14816669</v>
      </c>
      <c r="S25" s="468">
        <v>0.97321506999999996</v>
      </c>
      <c r="T25" s="468">
        <v>0</v>
      </c>
      <c r="U25" s="468">
        <v>0</v>
      </c>
      <c r="V25" s="468">
        <v>0</v>
      </c>
    </row>
    <row r="26" spans="2:22" outlineLevel="1">
      <c r="B26" s="236" t="s">
        <v>477</v>
      </c>
      <c r="C26" s="203">
        <f>IF('R6a - Net Debt input'!D32 = "","",'R6a - Net Debt input'!D32)</f>
        <v>41068</v>
      </c>
      <c r="D26" s="203">
        <f>IF('R6a - Net Debt input'!E32 = "","",'R6a - Net Debt input'!E32)</f>
        <v>46546</v>
      </c>
      <c r="E26" s="204" t="str">
        <f>IF('R6a - Net Debt input'!F32 = "","",'R6a - Net Debt input'!F32)</f>
        <v>15 YR FIXED RATE DEBT: PAY 4.00000% GBP 75.0 M MAT: 08-JUN-2027</v>
      </c>
      <c r="F26" s="205" t="str">
        <f>IF('R6a - Net Debt input'!G32 = "","",'R6a - Net Debt input'!G32)</f>
        <v>Fixed</v>
      </c>
      <c r="G26" s="533" t="str">
        <f>IF('R6a - Net Debt input'!H32 = "","",'R6a - Net Debt input'!H32)</f>
        <v>Senior</v>
      </c>
      <c r="H26" s="205" t="str">
        <f>IF('R6a - Net Debt input'!I32 = "","",'R6a - Net Debt input'!I32)</f>
        <v>N/A</v>
      </c>
      <c r="I26" s="368">
        <f>IF('R6a - Net Debt input'!J32 = "","",'R6a - Net Debt input'!J32)</f>
        <v>0.04</v>
      </c>
      <c r="J26" s="200"/>
      <c r="K26" s="201"/>
      <c r="L26" s="202"/>
      <c r="M26" s="468">
        <v>2.9</v>
      </c>
      <c r="N26" s="468">
        <v>2.8583217900000002</v>
      </c>
      <c r="O26" s="468">
        <v>2.8683223699999996</v>
      </c>
      <c r="P26" s="468">
        <v>2.8631461499999999</v>
      </c>
      <c r="Q26" s="468">
        <v>2.8670544499999999</v>
      </c>
      <c r="R26" s="468">
        <v>2.8661743199999998</v>
      </c>
      <c r="S26" s="468">
        <v>0.54182474000000003</v>
      </c>
      <c r="T26" s="468">
        <v>0</v>
      </c>
      <c r="U26" s="468">
        <v>0</v>
      </c>
      <c r="V26" s="468">
        <v>0</v>
      </c>
    </row>
    <row r="27" spans="2:22" outlineLevel="1">
      <c r="B27" s="236" t="s">
        <v>478</v>
      </c>
      <c r="C27" s="203">
        <f>IF('R6a - Net Debt input'!D33 = "","",'R6a - Net Debt input'!D33)</f>
        <v>41068</v>
      </c>
      <c r="D27" s="203">
        <f>IF('R6a - Net Debt input'!E33 = "","",'R6a - Net Debt input'!E33)</f>
        <v>46546</v>
      </c>
      <c r="E27" s="204" t="str">
        <f>IF('R6a - Net Debt input'!F33 = "","",'R6a - Net Debt input'!F33)</f>
        <v>15 YR FIXED RATE DEBT: PAY 4.00000% GBP 50.0 M MAT: 08-JUN-2027</v>
      </c>
      <c r="F27" s="205" t="str">
        <f>IF('R6a - Net Debt input'!G33 = "","",'R6a - Net Debt input'!G33)</f>
        <v>Fixed</v>
      </c>
      <c r="G27" s="533" t="str">
        <f>IF('R6a - Net Debt input'!H33 = "","",'R6a - Net Debt input'!H33)</f>
        <v>Senior</v>
      </c>
      <c r="H27" s="205" t="str">
        <f>IF('R6a - Net Debt input'!I33 = "","",'R6a - Net Debt input'!I33)</f>
        <v>N/A</v>
      </c>
      <c r="I27" s="368">
        <f>IF('R6a - Net Debt input'!J33 = "","",'R6a - Net Debt input'!J33)</f>
        <v>0.04</v>
      </c>
      <c r="J27" s="200"/>
      <c r="K27" s="201"/>
      <c r="L27" s="202"/>
      <c r="M27" s="468">
        <v>1.8</v>
      </c>
      <c r="N27" s="468">
        <v>1.8187279100000002</v>
      </c>
      <c r="O27" s="468">
        <v>1.8249765800000002</v>
      </c>
      <c r="P27" s="468">
        <v>1.8218855</v>
      </c>
      <c r="Q27" s="468">
        <v>1.8243111699999999</v>
      </c>
      <c r="R27" s="468">
        <v>1.82372442</v>
      </c>
      <c r="S27" s="468">
        <v>0.34475886</v>
      </c>
      <c r="T27" s="468">
        <v>0</v>
      </c>
      <c r="U27" s="468">
        <v>0</v>
      </c>
      <c r="V27" s="468">
        <v>0</v>
      </c>
    </row>
    <row r="28" spans="2:22" outlineLevel="1">
      <c r="B28" s="236" t="s">
        <v>479</v>
      </c>
      <c r="C28" s="203">
        <f>IF('R6a - Net Debt input'!D34 = "","",'R6a - Net Debt input'!D34)</f>
        <v>40809</v>
      </c>
      <c r="D28" s="203">
        <f>IF('R6a - Net Debt input'!E34 = "","",'R6a - Net Debt input'!E34)</f>
        <v>46288</v>
      </c>
      <c r="E28" s="204" t="str">
        <f>IF('R6a - Net Debt input'!F34 = "","",'R6a - Net Debt input'!F34)</f>
        <v>15 YR FIXED RATE DEBT: PAY 3.30000% HKD 250.0 M MAT: 23-SEP-2026</v>
      </c>
      <c r="F28" s="205" t="str">
        <f>IF('R6a - Net Debt input'!G34 = "","",'R6a - Net Debt input'!G34)</f>
        <v>Fixed</v>
      </c>
      <c r="G28" s="533" t="str">
        <f>IF('R6a - Net Debt input'!H34 = "","",'R6a - Net Debt input'!H34)</f>
        <v>Senior</v>
      </c>
      <c r="H28" s="205" t="str">
        <f>IF('R6a - Net Debt input'!I34 = "","",'R6a - Net Debt input'!I34)</f>
        <v>N/A</v>
      </c>
      <c r="I28" s="368">
        <f>IF('R6a - Net Debt input'!J34 = "","",'R6a - Net Debt input'!J34)</f>
        <v>3.3000000000000002E-2</v>
      </c>
      <c r="J28" s="200"/>
      <c r="K28" s="201"/>
      <c r="L28" s="202"/>
      <c r="M28" s="468">
        <v>0.8</v>
      </c>
      <c r="N28" s="468">
        <v>0.79906940000000004</v>
      </c>
      <c r="O28" s="468">
        <v>0.8034599</v>
      </c>
      <c r="P28" s="468">
        <v>0.80126465000000002</v>
      </c>
      <c r="Q28" s="468">
        <v>0.80126465000000002</v>
      </c>
      <c r="R28" s="468">
        <v>0.38636323</v>
      </c>
      <c r="S28" s="468">
        <v>0</v>
      </c>
      <c r="T28" s="468">
        <v>0</v>
      </c>
      <c r="U28" s="468">
        <v>0</v>
      </c>
      <c r="V28" s="468">
        <v>0</v>
      </c>
    </row>
    <row r="29" spans="2:22" outlineLevel="1">
      <c r="B29" s="236" t="s">
        <v>480</v>
      </c>
      <c r="C29" s="203">
        <f>IF('R6a - Net Debt input'!D35 = "","",'R6a - Net Debt input'!D35)</f>
        <v>41256</v>
      </c>
      <c r="D29" s="203">
        <f>IF('R6a - Net Debt input'!E35 = "","",'R6a - Net Debt input'!E35)</f>
        <v>46734</v>
      </c>
      <c r="E29" s="204" t="str">
        <f>IF('R6a - Net Debt input'!F35 = "","",'R6a - Net Debt input'!F35)</f>
        <v>15 YR FIXED RATE DEBT: PAY 3.10000% HKD 300.0 M MAT: 13-DEC-2027</v>
      </c>
      <c r="F29" s="205" t="str">
        <f>IF('R6a - Net Debt input'!G35 = "","",'R6a - Net Debt input'!G35)</f>
        <v>Fixed</v>
      </c>
      <c r="G29" s="533" t="str">
        <f>IF('R6a - Net Debt input'!H35 = "","",'R6a - Net Debt input'!H35)</f>
        <v>Senior</v>
      </c>
      <c r="H29" s="205" t="str">
        <f>IF('R6a - Net Debt input'!I35 = "","",'R6a - Net Debt input'!I35)</f>
        <v>N/A</v>
      </c>
      <c r="I29" s="368">
        <f>IF('R6a - Net Debt input'!J35 = "","",'R6a - Net Debt input'!J35)</f>
        <v>3.1E-2</v>
      </c>
      <c r="J29" s="200"/>
      <c r="K29" s="201"/>
      <c r="L29" s="202"/>
      <c r="M29" s="468">
        <v>0.9</v>
      </c>
      <c r="N29" s="468">
        <v>0.90076915000000002</v>
      </c>
      <c r="O29" s="468">
        <v>0.90571843000000007</v>
      </c>
      <c r="P29" s="468">
        <v>0.90324378999999999</v>
      </c>
      <c r="Q29" s="468">
        <v>0.90324378999999999</v>
      </c>
      <c r="R29" s="468">
        <v>0.90324378999999999</v>
      </c>
      <c r="S29" s="468">
        <v>0.63598261</v>
      </c>
      <c r="T29" s="468">
        <v>0</v>
      </c>
      <c r="U29" s="468">
        <v>0</v>
      </c>
      <c r="V29" s="468">
        <v>0</v>
      </c>
    </row>
    <row r="30" spans="2:22" outlineLevel="1">
      <c r="B30" s="236" t="s">
        <v>481</v>
      </c>
      <c r="C30" s="203">
        <f>IF('R6a - Net Debt input'!D36 = "","",'R6a - Net Debt input'!D36)</f>
        <v>41312</v>
      </c>
      <c r="D30" s="203">
        <f>IF('R6a - Net Debt input'!E36 = "","",'R6a - Net Debt input'!E36)</f>
        <v>46790</v>
      </c>
      <c r="E30" s="204" t="str">
        <f>IF('R6a - Net Debt input'!F36 = "","",'R6a - Net Debt input'!F36)</f>
        <v>15 YR FIXED RATE DEBT: PAY 3.25000% HKD 300.0 M MAT: 07-FEB-2028</v>
      </c>
      <c r="F30" s="205" t="str">
        <f>IF('R6a - Net Debt input'!G36 = "","",'R6a - Net Debt input'!G36)</f>
        <v>Fixed</v>
      </c>
      <c r="G30" s="533" t="str">
        <f>IF('R6a - Net Debt input'!H36 = "","",'R6a - Net Debt input'!H36)</f>
        <v>Senior</v>
      </c>
      <c r="H30" s="205" t="str">
        <f>IF('R6a - Net Debt input'!I36 = "","",'R6a - Net Debt input'!I36)</f>
        <v>N/A</v>
      </c>
      <c r="I30" s="368">
        <f>IF('R6a - Net Debt input'!J36 = "","",'R6a - Net Debt input'!J36)</f>
        <v>3.2500000000000001E-2</v>
      </c>
      <c r="J30" s="200"/>
      <c r="K30" s="201"/>
      <c r="L30" s="202"/>
      <c r="M30" s="468">
        <v>0.9</v>
      </c>
      <c r="N30" s="468">
        <v>0.94435475000000002</v>
      </c>
      <c r="O30" s="468">
        <v>0.94954351000000004</v>
      </c>
      <c r="P30" s="468">
        <v>0.94694913000000003</v>
      </c>
      <c r="Q30" s="468">
        <v>0.94694913000000003</v>
      </c>
      <c r="R30" s="468">
        <v>0.94694913000000003</v>
      </c>
      <c r="S30" s="468">
        <v>0.81204131000000002</v>
      </c>
      <c r="T30" s="468">
        <v>0</v>
      </c>
      <c r="U30" s="468">
        <v>0</v>
      </c>
      <c r="V30" s="468">
        <v>0</v>
      </c>
    </row>
    <row r="31" spans="2:22" outlineLevel="1">
      <c r="B31" s="236" t="s">
        <v>482</v>
      </c>
      <c r="C31" s="203">
        <f>IF('R6a - Net Debt input'!D37 = "","",'R6a - Net Debt input'!D37)</f>
        <v>41303</v>
      </c>
      <c r="D31" s="203">
        <f>IF('R6a - Net Debt input'!E37 = "","",'R6a - Net Debt input'!E37)</f>
        <v>45686</v>
      </c>
      <c r="E31" s="204" t="str">
        <f>IF('R6a - Net Debt input'!F37 = "","",'R6a - Net Debt input'!F37)</f>
        <v>12 YR FIXED RATE DEBT: PAY 4.35000% NOK 1190.0 M MAT: 29-JAN-2025</v>
      </c>
      <c r="F31" s="205" t="str">
        <f>IF('R6a - Net Debt input'!G37 = "","",'R6a - Net Debt input'!G37)</f>
        <v>Fixed</v>
      </c>
      <c r="G31" s="533" t="str">
        <f>IF('R6a - Net Debt input'!H37 = "","",'R6a - Net Debt input'!H37)</f>
        <v>Senior</v>
      </c>
      <c r="H31" s="205" t="str">
        <f>IF('R6a - Net Debt input'!I37 = "","",'R6a - Net Debt input'!I37)</f>
        <v>N/A</v>
      </c>
      <c r="I31" s="368">
        <f>IF('R6a - Net Debt input'!J37 = "","",'R6a - Net Debt input'!J37)</f>
        <v>4.3499999999999997E-2</v>
      </c>
      <c r="J31" s="200"/>
      <c r="K31" s="201"/>
      <c r="L31" s="202"/>
      <c r="M31" s="468">
        <v>4.3</v>
      </c>
      <c r="N31" s="468">
        <v>4.4835088299999999</v>
      </c>
      <c r="O31" s="468">
        <v>4.4835088299999999</v>
      </c>
      <c r="P31" s="468">
        <v>3.7113489799999999</v>
      </c>
      <c r="Q31" s="468">
        <v>0</v>
      </c>
      <c r="R31" s="468">
        <v>0</v>
      </c>
      <c r="S31" s="468">
        <v>0</v>
      </c>
      <c r="T31" s="468">
        <v>0</v>
      </c>
      <c r="U31" s="468">
        <v>0</v>
      </c>
      <c r="V31" s="468">
        <v>0</v>
      </c>
    </row>
    <row r="32" spans="2:22" outlineLevel="1">
      <c r="B32" s="236" t="s">
        <v>483</v>
      </c>
      <c r="C32" s="203">
        <f>IF('R6a - Net Debt input'!D38 = "","",'R6a - Net Debt input'!D38)</f>
        <v>37099</v>
      </c>
      <c r="D32" s="203">
        <f>IF('R6a - Net Debt input'!E38 = "","",'R6a - Net Debt input'!E38)</f>
        <v>47691</v>
      </c>
      <c r="E32" s="204" t="str">
        <f>IF('R6a - Net Debt input'!F38 = "","",'R6a - Net Debt input'!F38)</f>
        <v>29 YR FLOATING RATE DEBT: PAY 12M/1Y RPI 3.5890% REAL RATE GBP 40.0 M MAT: 27-JUL-2030</v>
      </c>
      <c r="F32" s="205" t="str">
        <f>IF('R6a - Net Debt input'!G38 = "","",'R6a - Net Debt input'!G38)</f>
        <v>RPI</v>
      </c>
      <c r="G32" s="533" t="str">
        <f>IF('R6a - Net Debt input'!H38 = "","",'R6a - Net Debt input'!H38)</f>
        <v>Senior</v>
      </c>
      <c r="H32" s="205" t="str">
        <f>IF('R6a - Net Debt input'!I38 = "","",'R6a - Net Debt input'!I38)</f>
        <v>RPI 12 month</v>
      </c>
      <c r="I32" s="368">
        <f>IF('R6a - Net Debt input'!J38 = "","",'R6a - Net Debt input'!J38)</f>
        <v>3.5889999999999998E-2</v>
      </c>
      <c r="J32" s="200"/>
      <c r="K32" s="201"/>
      <c r="L32" s="202"/>
      <c r="M32" s="468">
        <v>4.9000000000000004</v>
      </c>
      <c r="N32" s="468">
        <v>17.558139914039799</v>
      </c>
      <c r="O32" s="468">
        <v>10.38430509345501</v>
      </c>
      <c r="P32" s="468">
        <v>7.675749973930694</v>
      </c>
      <c r="Q32" s="468">
        <v>8.0376670627744282</v>
      </c>
      <c r="R32" s="468">
        <v>8.9112164962490699</v>
      </c>
      <c r="S32" s="468">
        <v>9.1785418845133204</v>
      </c>
      <c r="T32" s="468">
        <v>9.4538966096354216</v>
      </c>
      <c r="U32" s="468">
        <v>9.7375132967687978</v>
      </c>
      <c r="V32" s="468">
        <v>0</v>
      </c>
    </row>
    <row r="33" spans="2:22" outlineLevel="1">
      <c r="B33" s="236" t="s">
        <v>484</v>
      </c>
      <c r="C33" s="203">
        <f>IF('R6a - Net Debt input'!D39 = "","",'R6a - Net Debt input'!D39)</f>
        <v>37283</v>
      </c>
      <c r="D33" s="203">
        <f>IF('R6a - Net Debt input'!E39 = "","",'R6a - Net Debt input'!E39)</f>
        <v>47691</v>
      </c>
      <c r="E33" s="204" t="str">
        <f>IF('R6a - Net Debt input'!F39 = "","",'R6a - Net Debt input'!F39)</f>
        <v>28.5 YR FLOATING RATE DEBT: PAY 12M/1Y RPI 3.5890% REAL RATE GBP 30.0 M MAT: 27-JUL-2030</v>
      </c>
      <c r="F33" s="205" t="str">
        <f>IF('R6a - Net Debt input'!G39 = "","",'R6a - Net Debt input'!G39)</f>
        <v>RPI</v>
      </c>
      <c r="G33" s="533" t="str">
        <f>IF('R6a - Net Debt input'!H39 = "","",'R6a - Net Debt input'!H39)</f>
        <v>Senior</v>
      </c>
      <c r="H33" s="205" t="str">
        <f>IF('R6a - Net Debt input'!I39 = "","",'R6a - Net Debt input'!I39)</f>
        <v>RPI 12 month</v>
      </c>
      <c r="I33" s="368">
        <f>IF('R6a - Net Debt input'!J39 = "","",'R6a - Net Debt input'!J39)</f>
        <v>3.5889999999999998E-2</v>
      </c>
      <c r="J33" s="200"/>
      <c r="K33" s="201"/>
      <c r="L33" s="202"/>
      <c r="M33" s="468">
        <v>4.2</v>
      </c>
      <c r="N33" s="468">
        <v>17.396050475868009</v>
      </c>
      <c r="O33" s="468">
        <v>10.374084978359656</v>
      </c>
      <c r="P33" s="468">
        <v>7.6746381829659311</v>
      </c>
      <c r="Q33" s="468">
        <v>8.0374992959449063</v>
      </c>
      <c r="R33" s="468">
        <v>8.911191596775538</v>
      </c>
      <c r="S33" s="468">
        <v>9.1785384513018968</v>
      </c>
      <c r="T33" s="468">
        <v>9.4538961362543006</v>
      </c>
      <c r="U33" s="468">
        <v>9.7375132314976405</v>
      </c>
      <c r="V33" s="468">
        <v>0</v>
      </c>
    </row>
    <row r="34" spans="2:22" outlineLevel="1">
      <c r="B34" s="236" t="s">
        <v>485</v>
      </c>
      <c r="C34" s="203">
        <f>IF('R6a - Net Debt input'!D40 = "","",'R6a - Net Debt input'!D40)</f>
        <v>37445</v>
      </c>
      <c r="D34" s="203">
        <f>IF('R6a - Net Debt input'!E40 = "","",'R6a - Net Debt input'!E40)</f>
        <v>48403</v>
      </c>
      <c r="E34" s="204" t="str">
        <f>IF('R6a - Net Debt input'!F40 = "","",'R6a - Net Debt input'!F40)</f>
        <v>30 YR FLOATING RATE DEBT: PAY 12M/1Y RPI 2.8170% REAL RATE GBP 50.0 M MAT: 08-JUL-2032</v>
      </c>
      <c r="F34" s="205" t="str">
        <f>IF('R6a - Net Debt input'!G40 = "","",'R6a - Net Debt input'!G40)</f>
        <v>RPI</v>
      </c>
      <c r="G34" s="533" t="str">
        <f>IF('R6a - Net Debt input'!H40 = "","",'R6a - Net Debt input'!H40)</f>
        <v>Senior</v>
      </c>
      <c r="H34" s="205" t="str">
        <f>IF('R6a - Net Debt input'!I40 = "","",'R6a - Net Debt input'!I40)</f>
        <v>RPI 12 month</v>
      </c>
      <c r="I34" s="368">
        <f>IF('R6a - Net Debt input'!J40 = "","",'R6a - Net Debt input'!J40)</f>
        <v>2.8170000000000001E-2</v>
      </c>
      <c r="J34" s="200"/>
      <c r="K34" s="201"/>
      <c r="L34" s="202"/>
      <c r="M34" s="468">
        <v>6.9</v>
      </c>
      <c r="N34" s="468">
        <v>12.376519318603034</v>
      </c>
      <c r="O34" s="468">
        <v>7.3224048395198631</v>
      </c>
      <c r="P34" s="468">
        <v>5.3964948805795876</v>
      </c>
      <c r="Q34" s="468">
        <v>5.6527028959986723</v>
      </c>
      <c r="R34" s="468">
        <v>6.2724050645469207</v>
      </c>
      <c r="S34" s="468">
        <v>6.4605772164832871</v>
      </c>
      <c r="T34" s="468">
        <v>6.6543945329778111</v>
      </c>
      <c r="U34" s="468">
        <v>6.8540263689671477</v>
      </c>
      <c r="V34" s="468">
        <v>7.0596471600361514</v>
      </c>
    </row>
    <row r="35" spans="2:22" outlineLevel="1">
      <c r="B35" s="236" t="s">
        <v>486</v>
      </c>
      <c r="C35" s="203">
        <f>IF('R6a - Net Debt input'!D41 = "","",'R6a - Net Debt input'!D41)</f>
        <v>38531</v>
      </c>
      <c r="D35" s="203">
        <f>IF('R6a - Net Debt input'!E41 = "","",'R6a - Net Debt input'!E41)</f>
        <v>49488</v>
      </c>
      <c r="E35" s="204" t="str">
        <f>IF('R6a - Net Debt input'!F41 = "","",'R6a - Net Debt input'!F41)</f>
        <v>30 YR FLOATING RATE DEBT: PAY 12M/1Y RPI 2.2280% REAL RATE GBP 50.0 M MAT: 28-JUN-2035</v>
      </c>
      <c r="F35" s="205" t="str">
        <f>IF('R6a - Net Debt input'!G41 = "","",'R6a - Net Debt input'!G41)</f>
        <v>RPI</v>
      </c>
      <c r="G35" s="533" t="str">
        <f>IF('R6a - Net Debt input'!H41 = "","",'R6a - Net Debt input'!H41)</f>
        <v>Senior</v>
      </c>
      <c r="H35" s="205" t="str">
        <f>IF('R6a - Net Debt input'!I41 = "","",'R6a - Net Debt input'!I41)</f>
        <v>RPI 12 month</v>
      </c>
      <c r="I35" s="368">
        <f>IF('R6a - Net Debt input'!J41 = "","",'R6a - Net Debt input'!J41)</f>
        <v>2.2280000000000001E-2</v>
      </c>
      <c r="J35" s="200"/>
      <c r="K35" s="201"/>
      <c r="L35" s="202"/>
      <c r="M35" s="468">
        <v>5.3</v>
      </c>
      <c r="N35" s="468">
        <v>10.915158634264637</v>
      </c>
      <c r="O35" s="468">
        <v>6.2545835916405537</v>
      </c>
      <c r="P35" s="468">
        <v>4.4749470399880034</v>
      </c>
      <c r="Q35" s="468">
        <v>4.6978192583279785</v>
      </c>
      <c r="R35" s="468">
        <v>5.2519963106060601</v>
      </c>
      <c r="S35" s="468">
        <v>5.4095561999241966</v>
      </c>
      <c r="T35" s="468">
        <v>5.5718428859219475</v>
      </c>
      <c r="U35" s="468">
        <v>5.7389981724995973</v>
      </c>
      <c r="V35" s="468">
        <v>5.9111681176745892</v>
      </c>
    </row>
    <row r="36" spans="2:22" outlineLevel="1">
      <c r="B36" s="236" t="s">
        <v>487</v>
      </c>
      <c r="C36" s="203">
        <f>IF('R6a - Net Debt input'!D42 = "","",'R6a - Net Debt input'!D42)</f>
        <v>38595</v>
      </c>
      <c r="D36" s="203">
        <f>IF('R6a - Net Debt input'!E42 = "","",'R6a - Net Debt input'!E42)</f>
        <v>49549</v>
      </c>
      <c r="E36" s="204" t="str">
        <f>IF('R6a - Net Debt input'!F42 = "","",'R6a - Net Debt input'!F42)</f>
        <v>30.0 YR FLOATING RATE DEBT: PAY 12M/1Y RPI 2.0752% REAL RATE GBP 25.0 M MAT: 28-AUG-2035</v>
      </c>
      <c r="F36" s="205" t="str">
        <f>IF('R6a - Net Debt input'!G42 = "","",'R6a - Net Debt input'!G42)</f>
        <v>RPI</v>
      </c>
      <c r="G36" s="533" t="str">
        <f>IF('R6a - Net Debt input'!H42 = "","",'R6a - Net Debt input'!H42)</f>
        <v>Senior</v>
      </c>
      <c r="H36" s="205" t="str">
        <f>IF('R6a - Net Debt input'!I42 = "","",'R6a - Net Debt input'!I42)</f>
        <v>RPI 12 month</v>
      </c>
      <c r="I36" s="368">
        <f>IF('R6a - Net Debt input'!J42 = "","",'R6a - Net Debt input'!J42)</f>
        <v>2.0752E-2</v>
      </c>
      <c r="J36" s="200"/>
      <c r="K36" s="201"/>
      <c r="L36" s="202"/>
      <c r="M36" s="468">
        <v>2.6</v>
      </c>
      <c r="N36" s="468">
        <v>5.292159518321804</v>
      </c>
      <c r="O36" s="468">
        <v>2.9858263606462074</v>
      </c>
      <c r="P36" s="468">
        <v>2.1043449431350227</v>
      </c>
      <c r="Q36" s="468">
        <v>2.2116950882301651</v>
      </c>
      <c r="R36" s="468">
        <v>2.4821412461452956</v>
      </c>
      <c r="S36" s="468">
        <v>2.5566054835296299</v>
      </c>
      <c r="T36" s="468">
        <v>2.6333036480355307</v>
      </c>
      <c r="U36" s="468">
        <v>2.7123027574766017</v>
      </c>
      <c r="V36" s="468">
        <v>2.7936718402008984</v>
      </c>
    </row>
    <row r="37" spans="2:22" outlineLevel="1">
      <c r="B37" s="236" t="s">
        <v>488</v>
      </c>
      <c r="C37" s="203">
        <f>IF('R6a - Net Debt input'!D43 = "","",'R6a - Net Debt input'!D43)</f>
        <v>38623</v>
      </c>
      <c r="D37" s="203">
        <f>IF('R6a - Net Debt input'!E43 = "","",'R6a - Net Debt input'!E43)</f>
        <v>49580</v>
      </c>
      <c r="E37" s="204" t="str">
        <f>IF('R6a - Net Debt input'!F43 = "","",'R6a - Net Debt input'!F43)</f>
        <v>30 YR FLOATING RATE DEBT: PAY 12M/1Y RPI 2.0353% REAL RATE GBP 75.0 M MAT: 28-SEP-2035</v>
      </c>
      <c r="F37" s="205" t="str">
        <f>IF('R6a - Net Debt input'!G43 = "","",'R6a - Net Debt input'!G43)</f>
        <v>RPI</v>
      </c>
      <c r="G37" s="533" t="str">
        <f>IF('R6a - Net Debt input'!H43 = "","",'R6a - Net Debt input'!H43)</f>
        <v>Senior</v>
      </c>
      <c r="H37" s="205" t="str">
        <f>IF('R6a - Net Debt input'!I43 = "","",'R6a - Net Debt input'!I43)</f>
        <v>RPI 12 month</v>
      </c>
      <c r="I37" s="368">
        <f>IF('R6a - Net Debt input'!J43 = "","",'R6a - Net Debt input'!J43)</f>
        <v>2.0353E-2</v>
      </c>
      <c r="J37" s="200"/>
      <c r="K37" s="201"/>
      <c r="L37" s="202"/>
      <c r="M37" s="468">
        <v>7</v>
      </c>
      <c r="N37" s="468">
        <v>15.898285154568928</v>
      </c>
      <c r="O37" s="468">
        <v>8.9676664603960603</v>
      </c>
      <c r="P37" s="468">
        <v>6.318745358681233</v>
      </c>
      <c r="Q37" s="468">
        <v>6.6412060271122613</v>
      </c>
      <c r="R37" s="468">
        <v>7.4537384965286622</v>
      </c>
      <c r="S37" s="468">
        <v>7.6773506514244616</v>
      </c>
      <c r="T37" s="468">
        <v>7.9076711709672267</v>
      </c>
      <c r="U37" s="468">
        <v>8.144901306096223</v>
      </c>
      <c r="V37" s="468">
        <v>8.3892483452791158</v>
      </c>
    </row>
    <row r="38" spans="2:22" outlineLevel="1">
      <c r="B38" s="236" t="s">
        <v>489</v>
      </c>
      <c r="C38" s="203">
        <f>IF('R6a - Net Debt input'!D44 = "","",'R6a - Net Debt input'!D44)</f>
        <v>38642</v>
      </c>
      <c r="D38" s="203">
        <f>IF('R6a - Net Debt input'!E44 = "","",'R6a - Net Debt input'!E44)</f>
        <v>49599</v>
      </c>
      <c r="E38" s="204" t="str">
        <f>IF('R6a - Net Debt input'!F44 = "","",'R6a - Net Debt input'!F44)</f>
        <v>30 YR FLOATING RATE DEBT: PAY 12M/1Y RPI 1.9949% REAL RATE GBP 25.0 M MAT: 17-OCT-2035</v>
      </c>
      <c r="F38" s="205" t="str">
        <f>IF('R6a - Net Debt input'!G44 = "","",'R6a - Net Debt input'!G44)</f>
        <v>RPI</v>
      </c>
      <c r="G38" s="533" t="str">
        <f>IF('R6a - Net Debt input'!H44 = "","",'R6a - Net Debt input'!H44)</f>
        <v>Senior</v>
      </c>
      <c r="H38" s="205" t="str">
        <f>IF('R6a - Net Debt input'!I44 = "","",'R6a - Net Debt input'!I44)</f>
        <v>RPI 12 month</v>
      </c>
      <c r="I38" s="368">
        <f>IF('R6a - Net Debt input'!J44 = "","",'R6a - Net Debt input'!J44)</f>
        <v>1.9949000000000001E-2</v>
      </c>
      <c r="J38" s="200"/>
      <c r="K38" s="201"/>
      <c r="L38" s="202"/>
      <c r="M38" s="468">
        <v>2.5</v>
      </c>
      <c r="N38" s="468">
        <v>5.3357727175288128</v>
      </c>
      <c r="O38" s="468">
        <v>3.0062011175610834</v>
      </c>
      <c r="P38" s="468">
        <v>2.1157660016873594</v>
      </c>
      <c r="Q38" s="468">
        <v>2.2239366130736755</v>
      </c>
      <c r="R38" s="468">
        <v>2.4967707623308319</v>
      </c>
      <c r="S38" s="468">
        <v>2.571673885200731</v>
      </c>
      <c r="T38" s="468">
        <v>2.6488241017567606</v>
      </c>
      <c r="U38" s="468">
        <v>2.7282888248094697</v>
      </c>
      <c r="V38" s="468">
        <v>2.810137489553751</v>
      </c>
    </row>
    <row r="39" spans="2:22" outlineLevel="1">
      <c r="B39" s="236" t="s">
        <v>490</v>
      </c>
      <c r="C39" s="203">
        <f>IF('R6a - Net Debt input'!D45 = "","",'R6a - Net Debt input'!D45)</f>
        <v>38679</v>
      </c>
      <c r="D39" s="203">
        <f>IF('R6a - Net Debt input'!E45 = "","",'R6a - Net Debt input'!E45)</f>
        <v>49636</v>
      </c>
      <c r="E39" s="204" t="str">
        <f>IF('R6a - Net Debt input'!F45 = "","",'R6a - Net Debt input'!F45)</f>
        <v>30 YR FLOATING RATE DEBT: PAY 12M/1Y RPI 1.8204% REAL RATE GBP 50.0 M MAT: 23-NOV-2035</v>
      </c>
      <c r="F39" s="205" t="str">
        <f>IF('R6a - Net Debt input'!G45 = "","",'R6a - Net Debt input'!G45)</f>
        <v>RPI</v>
      </c>
      <c r="G39" s="533" t="str">
        <f>IF('R6a - Net Debt input'!H45 = "","",'R6a - Net Debt input'!H45)</f>
        <v>Senior</v>
      </c>
      <c r="H39" s="205" t="str">
        <f>IF('R6a - Net Debt input'!I45 = "","",'R6a - Net Debt input'!I45)</f>
        <v>RPI 12 month</v>
      </c>
      <c r="I39" s="368">
        <f>IF('R6a - Net Debt input'!J45 = "","",'R6a - Net Debt input'!J45)</f>
        <v>1.8204000000000001E-2</v>
      </c>
      <c r="J39" s="200"/>
      <c r="K39" s="201"/>
      <c r="L39" s="202"/>
      <c r="M39" s="468">
        <v>4.4000000000000004</v>
      </c>
      <c r="N39" s="468">
        <v>10.340705837436596</v>
      </c>
      <c r="O39" s="468">
        <v>5.7294713647740423</v>
      </c>
      <c r="P39" s="468">
        <v>3.9652748496567605</v>
      </c>
      <c r="Q39" s="468">
        <v>4.1734441442797028</v>
      </c>
      <c r="R39" s="468">
        <v>4.7058277063461951</v>
      </c>
      <c r="S39" s="468">
        <v>4.8470025375365395</v>
      </c>
      <c r="T39" s="468">
        <v>4.9924126136626512</v>
      </c>
      <c r="U39" s="468">
        <v>5.1421849920725329</v>
      </c>
      <c r="V39" s="468">
        <v>5.2964505418347105</v>
      </c>
    </row>
    <row r="40" spans="2:22" outlineLevel="1">
      <c r="B40" s="236" t="s">
        <v>491</v>
      </c>
      <c r="C40" s="203">
        <f>IF('R6a - Net Debt input'!D46 = "","",'R6a - Net Debt input'!D46)</f>
        <v>38810</v>
      </c>
      <c r="D40" s="203">
        <f>IF('R6a - Net Debt input'!E46 = "","",'R6a - Net Debt input'!E46)</f>
        <v>49768</v>
      </c>
      <c r="E40" s="204" t="str">
        <f>IF('R6a - Net Debt input'!F46 = "","",'R6a - Net Debt input'!F46)</f>
        <v>30 YR FLOATING RATE DEBT: PAY 12M/1Y RPI 1.6449% REAL RATE GBP 200.0 M MAT: 03-APR-2036</v>
      </c>
      <c r="F40" s="205" t="str">
        <f>IF('R6a - Net Debt input'!G46 = "","",'R6a - Net Debt input'!G46)</f>
        <v>RPI</v>
      </c>
      <c r="G40" s="533" t="str">
        <f>IF('R6a - Net Debt input'!H46 = "","",'R6a - Net Debt input'!H46)</f>
        <v>Senior</v>
      </c>
      <c r="H40" s="205" t="str">
        <f>IF('R6a - Net Debt input'!I46 = "","",'R6a - Net Debt input'!I46)</f>
        <v>RPI 12 month</v>
      </c>
      <c r="I40" s="368">
        <f>IF('R6a - Net Debt input'!J46 = "","",'R6a - Net Debt input'!J46)</f>
        <v>1.6448999999999998E-2</v>
      </c>
      <c r="J40" s="200"/>
      <c r="K40" s="201"/>
      <c r="L40" s="202"/>
      <c r="M40" s="468">
        <v>19.600000000000001</v>
      </c>
      <c r="N40" s="468">
        <v>40.588370552918391</v>
      </c>
      <c r="O40" s="468">
        <v>22.170966632626133</v>
      </c>
      <c r="P40" s="468">
        <v>15.119433230234815</v>
      </c>
      <c r="Q40" s="468">
        <v>15.931696955733425</v>
      </c>
      <c r="R40" s="468">
        <v>18.033316951366057</v>
      </c>
      <c r="S40" s="468">
        <v>18.574316459906854</v>
      </c>
      <c r="T40" s="468">
        <v>19.131545953704137</v>
      </c>
      <c r="U40" s="468">
        <v>19.705492332315259</v>
      </c>
      <c r="V40" s="468">
        <v>20.296657102284716</v>
      </c>
    </row>
    <row r="41" spans="2:22" outlineLevel="1">
      <c r="B41" s="236" t="s">
        <v>492</v>
      </c>
      <c r="C41" s="203">
        <f>IF('R6a - Net Debt input'!D47 = "","",'R6a - Net Debt input'!D47)</f>
        <v>38814</v>
      </c>
      <c r="D41" s="203">
        <f>IF('R6a - Net Debt input'!E47 = "","",'R6a - Net Debt input'!E47)</f>
        <v>49772</v>
      </c>
      <c r="E41" s="204" t="str">
        <f>IF('R6a - Net Debt input'!F47 = "","",'R6a - Net Debt input'!F47)</f>
        <v>30 YR FLOATING RATE DEBT: PAY 12M/1Y RPI 1.6747% REAL RATE GBP 50.0 M MAT: 07-APR-2036</v>
      </c>
      <c r="F41" s="205" t="str">
        <f>IF('R6a - Net Debt input'!G47 = "","",'R6a - Net Debt input'!G47)</f>
        <v>RPI</v>
      </c>
      <c r="G41" s="533" t="str">
        <f>IF('R6a - Net Debt input'!H47 = "","",'R6a - Net Debt input'!H47)</f>
        <v>Senior</v>
      </c>
      <c r="H41" s="205" t="str">
        <f>IF('R6a - Net Debt input'!I47 = "","",'R6a - Net Debt input'!I47)</f>
        <v>RPI 12 month</v>
      </c>
      <c r="I41" s="368">
        <f>IF('R6a - Net Debt input'!J47 = "","",'R6a - Net Debt input'!J47)</f>
        <v>1.6747000000000001E-2</v>
      </c>
      <c r="J41" s="200"/>
      <c r="K41" s="201"/>
      <c r="L41" s="202"/>
      <c r="M41" s="468">
        <v>4.9000000000000004</v>
      </c>
      <c r="N41" s="468">
        <v>10.197092638229597</v>
      </c>
      <c r="O41" s="468">
        <v>5.5981933080574109</v>
      </c>
      <c r="P41" s="468">
        <v>3.8378568020739463</v>
      </c>
      <c r="Q41" s="468">
        <v>4.0423503657676374</v>
      </c>
      <c r="R41" s="468">
        <v>4.5692855552812288</v>
      </c>
      <c r="S41" s="468">
        <v>4.7063641219396217</v>
      </c>
      <c r="T41" s="468">
        <v>4.8475550455978276</v>
      </c>
      <c r="U41" s="468">
        <v>4.9929816969657672</v>
      </c>
      <c r="V41" s="468">
        <v>5.1427711478747336</v>
      </c>
    </row>
    <row r="42" spans="2:22" outlineLevel="1">
      <c r="B42" s="236" t="s">
        <v>493</v>
      </c>
      <c r="C42" s="203">
        <f>IF('R6a - Net Debt input'!D48 = "","",'R6a - Net Debt input'!D48)</f>
        <v>38848</v>
      </c>
      <c r="D42" s="203">
        <f>IF('R6a - Net Debt input'!E48 = "","",'R6a - Net Debt input'!E48)</f>
        <v>57111</v>
      </c>
      <c r="E42" s="204" t="str">
        <f>IF('R6a - Net Debt input'!F48 = "","",'R6a - Net Debt input'!F48)</f>
        <v>50 YR FLOATING RATE DEBT: PAY 12M/1Y RPI 1.8190% REAL RATE GBP 50.0 M MAT: 11-MAY-2056</v>
      </c>
      <c r="F42" s="205" t="str">
        <f>IF('R6a - Net Debt input'!G48 = "","",'R6a - Net Debt input'!G48)</f>
        <v>RPI</v>
      </c>
      <c r="G42" s="533" t="str">
        <f>IF('R6a - Net Debt input'!H48 = "","",'R6a - Net Debt input'!H48)</f>
        <v>Senior</v>
      </c>
      <c r="H42" s="205" t="str">
        <f>IF('R6a - Net Debt input'!I48 = "","",'R6a - Net Debt input'!I48)</f>
        <v>RPI 12 month</v>
      </c>
      <c r="I42" s="368">
        <f>IF('R6a - Net Debt input'!J48 = "","",'R6a - Net Debt input'!J48)</f>
        <v>1.8190000000000001E-2</v>
      </c>
      <c r="J42" s="200"/>
      <c r="K42" s="201"/>
      <c r="L42" s="202"/>
      <c r="M42" s="468">
        <v>7.2</v>
      </c>
      <c r="N42" s="468">
        <v>10.536965233868139</v>
      </c>
      <c r="O42" s="468">
        <v>5.8211577708909772</v>
      </c>
      <c r="P42" s="468">
        <v>4.0166696131422928</v>
      </c>
      <c r="Q42" s="468">
        <v>4.228531006075503</v>
      </c>
      <c r="R42" s="468">
        <v>4.7716605291810872</v>
      </c>
      <c r="S42" s="468">
        <v>4.9148103450564804</v>
      </c>
      <c r="T42" s="468">
        <v>5.0622546554081964</v>
      </c>
      <c r="U42" s="468">
        <v>5.2141222950704424</v>
      </c>
      <c r="V42" s="468">
        <v>5.370545963922547</v>
      </c>
    </row>
    <row r="43" spans="2:22" outlineLevel="1">
      <c r="B43" s="236" t="s">
        <v>494</v>
      </c>
      <c r="C43" s="203">
        <f>IF('R6a - Net Debt input'!D49 = "","",'R6a - Net Debt input'!D49)</f>
        <v>38863</v>
      </c>
      <c r="D43" s="203">
        <f>IF('R6a - Net Debt input'!E49 = "","",'R6a - Net Debt input'!E49)</f>
        <v>57126</v>
      </c>
      <c r="E43" s="204" t="str">
        <f>IF('R6a - Net Debt input'!F49 = "","",'R6a - Net Debt input'!F49)</f>
        <v>50 YR FLOATING RATE DEBT: PAY 12M/1Y RPI 1.8230% REAL RATE GBP 150.0 M MAT: 26-MAY-2056</v>
      </c>
      <c r="F43" s="205" t="str">
        <f>IF('R6a - Net Debt input'!G49 = "","",'R6a - Net Debt input'!G49)</f>
        <v>RPI</v>
      </c>
      <c r="G43" s="533" t="str">
        <f>IF('R6a - Net Debt input'!H49 = "","",'R6a - Net Debt input'!H49)</f>
        <v>Senior</v>
      </c>
      <c r="H43" s="205" t="str">
        <f>IF('R6a - Net Debt input'!I49 = "","",'R6a - Net Debt input'!I49)</f>
        <v>RPI 12 month</v>
      </c>
      <c r="I43" s="368">
        <f>IF('R6a - Net Debt input'!J49 = "","",'R6a - Net Debt input'!J49)</f>
        <v>1.823E-2</v>
      </c>
      <c r="J43" s="200"/>
      <c r="K43" s="201"/>
      <c r="L43" s="202"/>
      <c r="M43" s="468">
        <v>21.4</v>
      </c>
      <c r="N43" s="468">
        <v>31.545475902793907</v>
      </c>
      <c r="O43" s="468">
        <v>17.432911177300653</v>
      </c>
      <c r="P43" s="468">
        <v>12.032877251598364</v>
      </c>
      <c r="Q43" s="468">
        <v>12.66723073096129</v>
      </c>
      <c r="R43" s="468">
        <v>14.293037313264978</v>
      </c>
      <c r="S43" s="468">
        <v>14.721828432662775</v>
      </c>
      <c r="T43" s="468">
        <v>15.163483285642712</v>
      </c>
      <c r="U43" s="468">
        <v>15.618387784212015</v>
      </c>
      <c r="V43" s="468">
        <v>16.086939417738392</v>
      </c>
    </row>
    <row r="44" spans="2:22" outlineLevel="1">
      <c r="B44" s="236" t="s">
        <v>495</v>
      </c>
      <c r="C44" s="203">
        <f>IF('R6a - Net Debt input'!D50 = "","",'R6a - Net Debt input'!D50)</f>
        <v>38912</v>
      </c>
      <c r="D44" s="203">
        <f>IF('R6a - Net Debt input'!E50 = "","",'R6a - Net Debt input'!E50)</f>
        <v>57175</v>
      </c>
      <c r="E44" s="204" t="str">
        <f>IF('R6a - Net Debt input'!F50 = "","",'R6a - Net Debt input'!F50)</f>
        <v>50 YR FLOATING RATE DEBT: PAY 12M/1Y RPI 1.7970% REAL RATE GBP 50.0 M MAT: 14-JUL-2056</v>
      </c>
      <c r="F44" s="205" t="str">
        <f>IF('R6a - Net Debt input'!G50 = "","",'R6a - Net Debt input'!G50)</f>
        <v>RPI</v>
      </c>
      <c r="G44" s="533" t="str">
        <f>IF('R6a - Net Debt input'!H50 = "","",'R6a - Net Debt input'!H50)</f>
        <v>Senior</v>
      </c>
      <c r="H44" s="205" t="str">
        <f>IF('R6a - Net Debt input'!I50 = "","",'R6a - Net Debt input'!I50)</f>
        <v>RPI 12 month</v>
      </c>
      <c r="I44" s="368">
        <f>IF('R6a - Net Debt input'!J50 = "","",'R6a - Net Debt input'!J50)</f>
        <v>1.797E-2</v>
      </c>
      <c r="J44" s="200"/>
      <c r="K44" s="201"/>
      <c r="L44" s="202"/>
      <c r="M44" s="468">
        <v>7.9</v>
      </c>
      <c r="N44" s="468">
        <v>10.504255334462878</v>
      </c>
      <c r="O44" s="468">
        <v>5.8058767032048166</v>
      </c>
      <c r="P44" s="468">
        <v>4.0081038192280349</v>
      </c>
      <c r="Q44" s="468">
        <v>4.219349862442872</v>
      </c>
      <c r="R44" s="468">
        <v>4.7606883920419385</v>
      </c>
      <c r="S44" s="468">
        <v>4.9035090438031546</v>
      </c>
      <c r="T44" s="468">
        <v>5.0506143151172722</v>
      </c>
      <c r="U44" s="468">
        <v>5.202132744570779</v>
      </c>
      <c r="V44" s="468">
        <v>5.3581967269079147</v>
      </c>
    </row>
    <row r="45" spans="2:22" outlineLevel="1">
      <c r="B45" s="236" t="s">
        <v>496</v>
      </c>
      <c r="C45" s="203">
        <f>IF('R6a - Net Debt input'!D51 = "","",'R6a - Net Debt input'!D51)</f>
        <v>38926</v>
      </c>
      <c r="D45" s="203">
        <f>IF('R6a - Net Debt input'!E51 = "","",'R6a - Net Debt input'!E51)</f>
        <v>57189</v>
      </c>
      <c r="E45" s="204" t="str">
        <f>IF('R6a - Net Debt input'!F51 = "","",'R6a - Net Debt input'!F51)</f>
        <v>50 YR FLOATING RATE DEBT: PAY 12M/1Y RPI 1.6574% REAL RATE GBP 50.0 M MAT: 28-JUL-2056</v>
      </c>
      <c r="F45" s="205" t="str">
        <f>IF('R6a - Net Debt input'!G51 = "","",'R6a - Net Debt input'!G51)</f>
        <v>RPI</v>
      </c>
      <c r="G45" s="533" t="str">
        <f>IF('R6a - Net Debt input'!H51 = "","",'R6a - Net Debt input'!H51)</f>
        <v>Senior</v>
      </c>
      <c r="H45" s="205" t="str">
        <f>IF('R6a - Net Debt input'!I51 = "","",'R6a - Net Debt input'!I51)</f>
        <v>RPI 12 month</v>
      </c>
      <c r="I45" s="368">
        <f>IF('R6a - Net Debt input'!J51 = "","",'R6a - Net Debt input'!J51)</f>
        <v>1.6573999999999998E-2</v>
      </c>
      <c r="J45" s="200"/>
      <c r="K45" s="201"/>
      <c r="L45" s="202"/>
      <c r="M45" s="468">
        <v>7.7</v>
      </c>
      <c r="N45" s="468">
        <v>10.33883553565237</v>
      </c>
      <c r="O45" s="468">
        <v>5.6644112680307543</v>
      </c>
      <c r="P45" s="468">
        <v>3.8749752423690493</v>
      </c>
      <c r="Q45" s="468">
        <v>4.0821353215090479</v>
      </c>
      <c r="R45" s="468">
        <v>4.6168314828842112</v>
      </c>
      <c r="S45" s="468">
        <v>4.7553364273706862</v>
      </c>
      <c r="T45" s="468">
        <v>4.897996520191823</v>
      </c>
      <c r="U45" s="468">
        <v>5.04493641579759</v>
      </c>
      <c r="V45" s="468">
        <v>5.1962845082715114</v>
      </c>
    </row>
    <row r="46" spans="2:22" outlineLevel="1">
      <c r="B46" s="236" t="s">
        <v>497</v>
      </c>
      <c r="C46" s="203">
        <f>IF('R6a - Net Debt input'!D52 = "","",'R6a - Net Debt input'!D52)</f>
        <v>38926</v>
      </c>
      <c r="D46" s="203">
        <f>IF('R6a - Net Debt input'!E52 = "","",'R6a - Net Debt input'!E52)</f>
        <v>57189</v>
      </c>
      <c r="E46" s="204" t="str">
        <f>IF('R6a - Net Debt input'!F52 = "","",'R6a - Net Debt input'!F52)</f>
        <v>50 YR FLOATING RATE DEBT: PAY 12M/1Y RPI 1.5842% REAL RATE GBP 25.0 M MAT: 28-JUL-2056</v>
      </c>
      <c r="F46" s="205" t="str">
        <f>IF('R6a - Net Debt input'!G52 = "","",'R6a - Net Debt input'!G52)</f>
        <v>RPI</v>
      </c>
      <c r="G46" s="533" t="str">
        <f>IF('R6a - Net Debt input'!H52 = "","",'R6a - Net Debt input'!H52)</f>
        <v>Senior</v>
      </c>
      <c r="H46" s="205" t="str">
        <f>IF('R6a - Net Debt input'!I52 = "","",'R6a - Net Debt input'!I52)</f>
        <v>RPI 12 month</v>
      </c>
      <c r="I46" s="368">
        <f>IF('R6a - Net Debt input'!J52 = "","",'R6a - Net Debt input'!J52)</f>
        <v>1.5841999999999998E-2</v>
      </c>
      <c r="J46" s="200"/>
      <c r="K46" s="201"/>
      <c r="L46" s="202"/>
      <c r="M46" s="468">
        <v>3.8</v>
      </c>
      <c r="N46" s="468">
        <v>5.1139661179253091</v>
      </c>
      <c r="O46" s="468">
        <v>2.7742071395001417</v>
      </c>
      <c r="P46" s="468">
        <v>1.8780614943502465</v>
      </c>
      <c r="Q46" s="468">
        <v>1.9801113433148068</v>
      </c>
      <c r="R46" s="468">
        <v>2.2456307344791968</v>
      </c>
      <c r="S46" s="468">
        <v>2.3129996565135471</v>
      </c>
      <c r="T46" s="468">
        <v>2.3823896462089618</v>
      </c>
      <c r="U46" s="468">
        <v>2.4538613355952368</v>
      </c>
      <c r="V46" s="468">
        <v>2.5274771756630909</v>
      </c>
    </row>
    <row r="47" spans="2:22" outlineLevel="1">
      <c r="B47" s="236" t="s">
        <v>498</v>
      </c>
      <c r="C47" s="203">
        <f>IF('R6a - Net Debt input'!D53 = "","",'R6a - Net Debt input'!D53)</f>
        <v>39177</v>
      </c>
      <c r="D47" s="203">
        <f>IF('R6a - Net Debt input'!E53 = "","",'R6a - Net Debt input'!E53)</f>
        <v>50796</v>
      </c>
      <c r="E47" s="204" t="str">
        <f>IF('R6a - Net Debt input'!F53 = "","",'R6a - Net Debt input'!F53)</f>
        <v>31.8 YR FLOATING RATE DEBT: PAY 12M/1Y RPI 1.8055% REAL RATE GBP 50.0 M MAT: 26-JAN-2039</v>
      </c>
      <c r="F47" s="205" t="str">
        <f>IF('R6a - Net Debt input'!G53 = "","",'R6a - Net Debt input'!G53)</f>
        <v>RPI</v>
      </c>
      <c r="G47" s="533" t="str">
        <f>IF('R6a - Net Debt input'!H53 = "","",'R6a - Net Debt input'!H53)</f>
        <v>Senior</v>
      </c>
      <c r="H47" s="205" t="str">
        <f>IF('R6a - Net Debt input'!I53 = "","",'R6a - Net Debt input'!I53)</f>
        <v>RPI 12 month</v>
      </c>
      <c r="I47" s="368">
        <f>IF('R6a - Net Debt input'!J53 = "","",'R6a - Net Debt input'!J53)</f>
        <v>1.8055000000000002E-2</v>
      </c>
      <c r="J47" s="200"/>
      <c r="K47" s="201"/>
      <c r="L47" s="202"/>
      <c r="M47" s="468">
        <v>4.8</v>
      </c>
      <c r="N47" s="468">
        <v>9.8481870445735264</v>
      </c>
      <c r="O47" s="468">
        <v>5.4351952527384029</v>
      </c>
      <c r="P47" s="468">
        <v>3.7464883336552104</v>
      </c>
      <c r="Q47" s="468">
        <v>3.9444181670195402</v>
      </c>
      <c r="R47" s="468">
        <v>4.4522494257969667</v>
      </c>
      <c r="S47" s="468">
        <v>4.5858169085708269</v>
      </c>
      <c r="T47" s="468">
        <v>4.7233914158279742</v>
      </c>
      <c r="U47" s="468">
        <v>4.8650931583028232</v>
      </c>
      <c r="V47" s="468">
        <v>5.0110459530518989</v>
      </c>
    </row>
    <row r="48" spans="2:22" outlineLevel="1">
      <c r="B48" s="236" t="s">
        <v>499</v>
      </c>
      <c r="C48" s="203">
        <f>IF('R6a - Net Debt input'!D54 = "","",'R6a - Net Debt input'!D54)</f>
        <v>39182</v>
      </c>
      <c r="D48" s="203">
        <f>IF('R6a - Net Debt input'!E54 = "","",'R6a - Net Debt input'!E54)</f>
        <v>50892</v>
      </c>
      <c r="E48" s="204" t="str">
        <f>IF('R6a - Net Debt input'!F54 = "","",'R6a - Net Debt input'!F54)</f>
        <v>32.1 YR FLOATING RATE DEBT: PAY 12M/1Y RPI 1.8575% REAL RATE GBP 150.0 M MAT: 02-MAY-2039</v>
      </c>
      <c r="F48" s="205" t="str">
        <f>IF('R6a - Net Debt input'!G54 = "","",'R6a - Net Debt input'!G54)</f>
        <v>RPI</v>
      </c>
      <c r="G48" s="533" t="str">
        <f>IF('R6a - Net Debt input'!H54 = "","",'R6a - Net Debt input'!H54)</f>
        <v>Senior</v>
      </c>
      <c r="H48" s="205" t="str">
        <f>IF('R6a - Net Debt input'!I54 = "","",'R6a - Net Debt input'!I54)</f>
        <v>RPI 12 month</v>
      </c>
      <c r="I48" s="368">
        <f>IF('R6a - Net Debt input'!J54 = "","",'R6a - Net Debt input'!J54)</f>
        <v>1.8575000000000001E-2</v>
      </c>
      <c r="J48" s="200"/>
      <c r="K48" s="201"/>
      <c r="L48" s="202"/>
      <c r="M48" s="468">
        <v>13.7</v>
      </c>
      <c r="N48" s="468">
        <v>29.908110630746883</v>
      </c>
      <c r="O48" s="468">
        <v>16.603797696249508</v>
      </c>
      <c r="P48" s="468">
        <v>11.514287948597833</v>
      </c>
      <c r="Q48" s="468">
        <v>12.116864726558942</v>
      </c>
      <c r="R48" s="468">
        <v>13.655434232845518</v>
      </c>
      <c r="S48" s="468">
        <v>14.065097259830758</v>
      </c>
      <c r="T48" s="468">
        <v>14.487050177625759</v>
      </c>
      <c r="U48" s="468">
        <v>14.921661682954525</v>
      </c>
      <c r="V48" s="468">
        <v>15.369311533443135</v>
      </c>
    </row>
    <row r="49" spans="2:22" outlineLevel="1">
      <c r="B49" s="236" t="s">
        <v>500</v>
      </c>
      <c r="C49" s="203">
        <f>IF('R6a - Net Debt input'!D55 = "","",'R6a - Net Debt input'!D55)</f>
        <v>39805</v>
      </c>
      <c r="D49" s="203">
        <f>IF('R6a - Net Debt input'!E55 = "","",'R6a - Net Debt input'!E55)</f>
        <v>58067</v>
      </c>
      <c r="E49" s="204" t="str">
        <f>IF('R6a - Net Debt input'!F55 = "","",'R6a - Net Debt input'!F55)</f>
        <v>50 YR FLOATING RATE DEBT: PAY 12M/1Y RPI 3.6120% REAL RATE GBP 8.9 M MAT: 23-DEC-2058</v>
      </c>
      <c r="F49" s="205" t="str">
        <f>IF('R6a - Net Debt input'!G55 = "","",'R6a - Net Debt input'!G55)</f>
        <v>RPI</v>
      </c>
      <c r="G49" s="533" t="str">
        <f>IF('R6a - Net Debt input'!H55 = "","",'R6a - Net Debt input'!H55)</f>
        <v>Senior</v>
      </c>
      <c r="H49" s="205" t="str">
        <f>IF('R6a - Net Debt input'!I55 = "","",'R6a - Net Debt input'!I55)</f>
        <v>RPI 12 month</v>
      </c>
      <c r="I49" s="368">
        <f>IF('R6a - Net Debt input'!J55 = "","",'R6a - Net Debt input'!J55)</f>
        <v>3.6119999999999999E-2</v>
      </c>
      <c r="J49" s="200"/>
      <c r="K49" s="201"/>
      <c r="L49" s="202"/>
      <c r="M49" s="468">
        <v>1.5</v>
      </c>
      <c r="N49" s="468">
        <v>2.00465537264177</v>
      </c>
      <c r="O49" s="468">
        <v>1.2574456125719706</v>
      </c>
      <c r="P49" s="468">
        <v>0.97401146520816262</v>
      </c>
      <c r="Q49" s="468">
        <v>1.0165938754439381</v>
      </c>
      <c r="R49" s="468">
        <v>1.1142814827980347</v>
      </c>
      <c r="S49" s="468">
        <v>1.1477099272819693</v>
      </c>
      <c r="T49" s="468">
        <v>1.18214122510043</v>
      </c>
      <c r="U49" s="468">
        <v>1.2176054618534429</v>
      </c>
      <c r="V49" s="468">
        <v>1.2541336257090481</v>
      </c>
    </row>
    <row r="50" spans="2:22" outlineLevel="1">
      <c r="B50" s="236" t="s">
        <v>501</v>
      </c>
      <c r="C50" s="203">
        <f>IF('R6a - Net Debt input'!D56 = "","",'R6a - Net Debt input'!D56)</f>
        <v>40030</v>
      </c>
      <c r="D50" s="203">
        <f>IF('R6a - Net Debt input'!E56 = "","",'R6a - Net Debt input'!E56)</f>
        <v>50987</v>
      </c>
      <c r="E50" s="204" t="str">
        <f>IF('R6a - Net Debt input'!F56 = "","",'R6a - Net Debt input'!F56)</f>
        <v>30 YR FLOATING RATE DEBT: PAY 12M/1Y RPI 2.4860% REAL RATE GBP 25.0 M MAT: 05-AUG-2039</v>
      </c>
      <c r="F50" s="205" t="str">
        <f>IF('R6a - Net Debt input'!G56 = "","",'R6a - Net Debt input'!G56)</f>
        <v>RPI</v>
      </c>
      <c r="G50" s="533" t="str">
        <f>IF('R6a - Net Debt input'!H56 = "","",'R6a - Net Debt input'!H56)</f>
        <v>Senior</v>
      </c>
      <c r="H50" s="205" t="str">
        <f>IF('R6a - Net Debt input'!I56 = "","",'R6a - Net Debt input'!I56)</f>
        <v>RPI 12 month</v>
      </c>
      <c r="I50" s="368">
        <f>IF('R6a - Net Debt input'!J56 = "","",'R6a - Net Debt input'!J56)</f>
        <v>2.486E-2</v>
      </c>
      <c r="J50" s="200"/>
      <c r="K50" s="201"/>
      <c r="L50" s="202"/>
      <c r="M50" s="468">
        <v>3.9</v>
      </c>
      <c r="N50" s="468">
        <v>5.1195770232780022</v>
      </c>
      <c r="O50" s="468">
        <v>2.9693874297299914</v>
      </c>
      <c r="P50" s="468">
        <v>2.1489603162133517</v>
      </c>
      <c r="Q50" s="468">
        <v>2.2540378116267714</v>
      </c>
      <c r="R50" s="468">
        <v>2.5126194048651556</v>
      </c>
      <c r="S50" s="468">
        <v>2.5879979870110859</v>
      </c>
      <c r="T50" s="468">
        <v>2.6656379266214332</v>
      </c>
      <c r="U50" s="468">
        <v>2.7456070644200734</v>
      </c>
      <c r="V50" s="468">
        <v>2.8279752763526731</v>
      </c>
    </row>
    <row r="51" spans="2:22" outlineLevel="1">
      <c r="B51" s="236" t="s">
        <v>502</v>
      </c>
      <c r="C51" s="203">
        <f>IF('R6a - Net Debt input'!D57 = "","",'R6a - Net Debt input'!D57)</f>
        <v>41310</v>
      </c>
      <c r="D51" s="203">
        <f>IF('R6a - Net Debt input'!E57 = "","",'R6a - Net Debt input'!E57)</f>
        <v>50076</v>
      </c>
      <c r="E51" s="204" t="str">
        <f>IF('R6a - Net Debt input'!F57 = "","",'R6a - Net Debt input'!F57)</f>
        <v>24 YR FLOATING RATE DEBT: PAY 12M/1Y RPI 1.3740% REAL RATE GBP 30.0 M MAT: 05-FEB-2037</v>
      </c>
      <c r="F51" s="205" t="str">
        <f>IF('R6a - Net Debt input'!G57 = "","",'R6a - Net Debt input'!G57)</f>
        <v>RPI</v>
      </c>
      <c r="G51" s="533" t="str">
        <f>IF('R6a - Net Debt input'!H57 = "","",'R6a - Net Debt input'!H57)</f>
        <v>Senior</v>
      </c>
      <c r="H51" s="205" t="str">
        <f>IF('R6a - Net Debt input'!I57 = "","",'R6a - Net Debt input'!I57)</f>
        <v>RPI 12 month</v>
      </c>
      <c r="I51" s="368">
        <f>IF('R6a - Net Debt input'!J57 = "","",'R6a - Net Debt input'!J57)</f>
        <v>1.374E-2</v>
      </c>
      <c r="J51" s="200"/>
      <c r="K51" s="201"/>
      <c r="L51" s="202"/>
      <c r="M51" s="468">
        <v>3.6</v>
      </c>
      <c r="N51" s="468">
        <v>4.8395133210972761</v>
      </c>
      <c r="O51" s="468">
        <v>2.5818048120388895</v>
      </c>
      <c r="P51" s="468">
        <v>1.7163802711104079</v>
      </c>
      <c r="Q51" s="468">
        <v>1.8122929902722031</v>
      </c>
      <c r="R51" s="468">
        <v>2.0652000348576287</v>
      </c>
      <c r="S51" s="468">
        <v>2.1271560359033401</v>
      </c>
      <c r="T51" s="468">
        <v>2.190970716980448</v>
      </c>
      <c r="U51" s="468">
        <v>2.2566998384898596</v>
      </c>
      <c r="V51" s="468">
        <v>2.3244008336445563</v>
      </c>
    </row>
    <row r="52" spans="2:22" outlineLevel="1">
      <c r="B52" s="236" t="s">
        <v>503</v>
      </c>
      <c r="C52" s="203">
        <f>IF('R6a - Net Debt input'!D58 = "","",'R6a - Net Debt input'!D58)</f>
        <v>41513</v>
      </c>
      <c r="D52" s="203">
        <f>IF('R6a - Net Debt input'!E58 = "","",'R6a - Net Debt input'!E58)</f>
        <v>50644</v>
      </c>
      <c r="E52" s="204" t="str">
        <f>IF('R6a - Net Debt input'!F58 = "","",'R6a - Net Debt input'!F58)</f>
        <v>25 YR FLOATING RATE DEBT: PAY 12M/1Y RPI 1.2080% REAL RATE GBP 40.0 M MAT: 27-AUG-2038</v>
      </c>
      <c r="F52" s="205" t="str">
        <f>IF('R6a - Net Debt input'!G58 = "","",'R6a - Net Debt input'!G58)</f>
        <v>RPI</v>
      </c>
      <c r="G52" s="533" t="str">
        <f>IF('R6a - Net Debt input'!H58 = "","",'R6a - Net Debt input'!H58)</f>
        <v>Senior</v>
      </c>
      <c r="H52" s="205" t="str">
        <f>IF('R6a - Net Debt input'!I58 = "","",'R6a - Net Debt input'!I58)</f>
        <v>RPI 12 month</v>
      </c>
      <c r="I52" s="368">
        <f>IF('R6a - Net Debt input'!J58 = "","",'R6a - Net Debt input'!J58)</f>
        <v>1.208E-2</v>
      </c>
      <c r="J52" s="200"/>
      <c r="K52" s="201"/>
      <c r="L52" s="202"/>
      <c r="M52" s="468">
        <v>4.5</v>
      </c>
      <c r="N52" s="468">
        <v>6.2479092973075092</v>
      </c>
      <c r="O52" s="468">
        <v>3.3039508192869107</v>
      </c>
      <c r="P52" s="468">
        <v>2.1750090167111491</v>
      </c>
      <c r="Q52" s="468">
        <v>2.2983909892461121</v>
      </c>
      <c r="R52" s="468">
        <v>2.6259981553030274</v>
      </c>
      <c r="S52" s="468">
        <v>2.7047780999620983</v>
      </c>
      <c r="T52" s="468">
        <v>2.7859214429609676</v>
      </c>
      <c r="U52" s="468">
        <v>2.8694990862498049</v>
      </c>
      <c r="V52" s="468">
        <v>2.9555840588372928</v>
      </c>
    </row>
    <row r="53" spans="2:22" outlineLevel="1">
      <c r="B53" s="236" t="s">
        <v>504</v>
      </c>
      <c r="C53" s="203">
        <f>IF('R6a - Net Debt input'!D59 = "","",'R6a - Net Debt input'!D59)</f>
        <v>43439</v>
      </c>
      <c r="D53" s="203">
        <f>IF('R6a - Net Debt input'!E59 = "","",'R6a - Net Debt input'!E59)</f>
        <v>48918</v>
      </c>
      <c r="E53" s="204" t="str">
        <f>IF('R6a - Net Debt input'!F59 = "","",'R6a - Net Debt input'!F59)</f>
        <v>15 YR FIXED RATE DEBT: PAY 3.13500% NOK 1000.0 M MAT: 05-DEC-2033</v>
      </c>
      <c r="F53" s="205" t="str">
        <f>IF('R6a - Net Debt input'!G59 = "","",'R6a - Net Debt input'!G59)</f>
        <v>Fixed</v>
      </c>
      <c r="G53" s="533" t="str">
        <f>IF('R6a - Net Debt input'!H59 = "","",'R6a - Net Debt input'!H59)</f>
        <v>Senior</v>
      </c>
      <c r="H53" s="205" t="str">
        <f>IF('R6a - Net Debt input'!I59 = "","",'R6a - Net Debt input'!I59)</f>
        <v>N/A</v>
      </c>
      <c r="I53" s="368">
        <f>IF('R6a - Net Debt input'!J59 = "","",'R6a - Net Debt input'!J59)</f>
        <v>3.1350000000000003E-2</v>
      </c>
      <c r="J53" s="200"/>
      <c r="K53" s="201"/>
      <c r="L53" s="202"/>
      <c r="M53" s="468">
        <v>2.6</v>
      </c>
      <c r="N53" s="468">
        <v>2.7153096099999998</v>
      </c>
      <c r="O53" s="468">
        <v>2.7153096099999998</v>
      </c>
      <c r="P53" s="468">
        <v>2.7153096099999998</v>
      </c>
      <c r="Q53" s="468">
        <v>2.7153096099999998</v>
      </c>
      <c r="R53" s="468">
        <v>2.7153096099999998</v>
      </c>
      <c r="S53" s="468">
        <v>2.7153096099999998</v>
      </c>
      <c r="T53" s="468">
        <v>2.7153096099999998</v>
      </c>
      <c r="U53" s="468">
        <v>2.7153096099999998</v>
      </c>
      <c r="V53" s="468">
        <v>2.7153096099999998</v>
      </c>
    </row>
    <row r="54" spans="2:22" outlineLevel="1">
      <c r="B54" s="236" t="s">
        <v>505</v>
      </c>
      <c r="C54" s="203">
        <f>IF('R6a - Net Debt input'!D60 = "","",'R6a - Net Debt input'!D60)</f>
        <v>43259</v>
      </c>
      <c r="D54" s="203">
        <f>IF('R6a - Net Debt input'!E60 = "","",'R6a - Net Debt input'!E60)</f>
        <v>46546</v>
      </c>
      <c r="E54" s="204" t="str">
        <f>IF('R6a - Net Debt input'!F60 = "","",'R6a - Net Debt input'!F60)</f>
        <v>9 YR FIXED RATE DEBT: PAY 4.00000% GBP 50.0 M MAT: 08-JUN-2027</v>
      </c>
      <c r="F54" s="205" t="str">
        <f>IF('R6a - Net Debt input'!G60 = "","",'R6a - Net Debt input'!G60)</f>
        <v>Fixed</v>
      </c>
      <c r="G54" s="533" t="str">
        <f>IF('R6a - Net Debt input'!H60 = "","",'R6a - Net Debt input'!H60)</f>
        <v>Senior</v>
      </c>
      <c r="H54" s="205" t="str">
        <f>IF('R6a - Net Debt input'!I60 = "","",'R6a - Net Debt input'!I60)</f>
        <v>N/A</v>
      </c>
      <c r="I54" s="368">
        <f>IF('R6a - Net Debt input'!J60 = "","",'R6a - Net Debt input'!J60)</f>
        <v>0.04</v>
      </c>
      <c r="J54" s="200"/>
      <c r="K54" s="201"/>
      <c r="L54" s="202"/>
      <c r="M54" s="468">
        <v>1.2</v>
      </c>
      <c r="N54" s="468">
        <v>1.2340786800000001</v>
      </c>
      <c r="O54" s="468">
        <v>1.2375099500000002</v>
      </c>
      <c r="P54" s="468">
        <v>1.23684131</v>
      </c>
      <c r="Q54" s="468">
        <v>1.2380557599999999</v>
      </c>
      <c r="R54" s="468">
        <v>1.2374690100000001</v>
      </c>
      <c r="S54" s="468">
        <v>0.23393249999999999</v>
      </c>
      <c r="T54" s="468">
        <v>0</v>
      </c>
      <c r="U54" s="468">
        <v>0</v>
      </c>
      <c r="V54" s="468">
        <v>0</v>
      </c>
    </row>
    <row r="55" spans="2:22" outlineLevel="1">
      <c r="B55" s="236" t="s">
        <v>506</v>
      </c>
      <c r="C55" s="203">
        <f>IF('R6a - Net Debt input'!D61 = "","",'R6a - Net Debt input'!D61)</f>
        <v>43502</v>
      </c>
      <c r="D55" s="203">
        <f>IF('R6a - Net Debt input'!E61 = "","",'R6a - Net Debt input'!E61)</f>
        <v>49346</v>
      </c>
      <c r="E55" s="204" t="str">
        <f>IF('R6a - Net Debt input'!F61 = "","",'R6a - Net Debt input'!F61)</f>
        <v>16 YR FIXED RATE DEBT: PAY 2.75000% GBP 250.0 M MAT: 06-FEB-2035</v>
      </c>
      <c r="F55" s="205" t="str">
        <f>IF('R6a - Net Debt input'!G61 = "","",'R6a - Net Debt input'!G61)</f>
        <v>Fixed</v>
      </c>
      <c r="G55" s="533" t="str">
        <f>IF('R6a - Net Debt input'!H61 = "","",'R6a - Net Debt input'!H61)</f>
        <v>Senior</v>
      </c>
      <c r="H55" s="205" t="str">
        <f>IF('R6a - Net Debt input'!I61 = "","",'R6a - Net Debt input'!I61)</f>
        <v>N/A</v>
      </c>
      <c r="I55" s="368">
        <f>IF('R6a - Net Debt input'!J61 = "","",'R6a - Net Debt input'!J61)</f>
        <v>2.75E-2</v>
      </c>
      <c r="J55" s="200"/>
      <c r="K55" s="201"/>
      <c r="L55" s="202"/>
      <c r="M55" s="468">
        <v>6.9</v>
      </c>
      <c r="N55" s="468">
        <v>6.8981918500000008</v>
      </c>
      <c r="O55" s="468">
        <v>6.9324738300000002</v>
      </c>
      <c r="P55" s="468">
        <v>6.9010032599999995</v>
      </c>
      <c r="Q55" s="468">
        <v>6.9168730900000002</v>
      </c>
      <c r="R55" s="468">
        <v>6.9171421799999999</v>
      </c>
      <c r="S55" s="468">
        <v>6.9324738300000002</v>
      </c>
      <c r="T55" s="468">
        <v>6.9010032599999995</v>
      </c>
      <c r="U55" s="468">
        <v>6.9168730900000002</v>
      </c>
      <c r="V55" s="468">
        <v>6.9171421799999999</v>
      </c>
    </row>
    <row r="56" spans="2:22" outlineLevel="1">
      <c r="B56" s="236" t="s">
        <v>507</v>
      </c>
      <c r="C56" s="203">
        <f>IF('R6a - Net Debt input'!D62 = "","",'R6a - Net Debt input'!D62)</f>
        <v>43511</v>
      </c>
      <c r="D56" s="203">
        <f>IF('R6a - Net Debt input'!E62 = "","",'R6a - Net Debt input'!E62)</f>
        <v>50816</v>
      </c>
      <c r="E56" s="204" t="str">
        <f>IF('R6a - Net Debt input'!F62 = "","",'R6a - Net Debt input'!F62)</f>
        <v>20 YR FIXED RATE DEBT: PAY 2.03700% EUR 112.5 M MAT: 15-FEB-2039</v>
      </c>
      <c r="F56" s="205" t="str">
        <f>IF('R6a - Net Debt input'!G62 = "","",'R6a - Net Debt input'!G62)</f>
        <v>Fixed</v>
      </c>
      <c r="G56" s="533" t="str">
        <f>IF('R6a - Net Debt input'!H62 = "","",'R6a - Net Debt input'!H62)</f>
        <v>Senior</v>
      </c>
      <c r="H56" s="205" t="str">
        <f>IF('R6a - Net Debt input'!I62 = "","",'R6a - Net Debt input'!I62)</f>
        <v>N/A</v>
      </c>
      <c r="I56" s="368">
        <f>IF('R6a - Net Debt input'!J62 = "","",'R6a - Net Debt input'!J62)</f>
        <v>2.0369999999999999E-2</v>
      </c>
      <c r="J56" s="200"/>
      <c r="K56" s="201"/>
      <c r="L56" s="202"/>
      <c r="M56" s="468">
        <v>1.9</v>
      </c>
      <c r="N56" s="468">
        <v>1.9256743999999999</v>
      </c>
      <c r="O56" s="468">
        <v>1.93536737</v>
      </c>
      <c r="P56" s="468">
        <v>1.9263263400000001</v>
      </c>
      <c r="Q56" s="468">
        <v>1.9308860700000001</v>
      </c>
      <c r="R56" s="468">
        <v>1.9309645</v>
      </c>
      <c r="S56" s="468">
        <v>1.93536737</v>
      </c>
      <c r="T56" s="468">
        <v>1.9263263400000001</v>
      </c>
      <c r="U56" s="468">
        <v>1.9308860700000001</v>
      </c>
      <c r="V56" s="468">
        <v>1.9309645</v>
      </c>
    </row>
    <row r="57" spans="2:22" outlineLevel="1">
      <c r="B57" s="236" t="s">
        <v>508</v>
      </c>
      <c r="C57" s="203">
        <f>IF('R6a - Net Debt input'!D63 = "","",'R6a - Net Debt input'!D63)</f>
        <v>43742</v>
      </c>
      <c r="D57" s="203">
        <f>IF('R6a - Net Debt input'!E63 = "","",'R6a - Net Debt input'!E63)</f>
        <v>49221</v>
      </c>
      <c r="E57" s="204" t="str">
        <f>IF('R6a - Net Debt input'!F63 = "","",'R6a - Net Debt input'!F63)</f>
        <v>15 YR FIXED RATE DEBT: PAY 2.71000% AUD 70.0 M MAT: 04-OCT-2034</v>
      </c>
      <c r="F57" s="205" t="str">
        <f>IF('R6a - Net Debt input'!G63 = "","",'R6a - Net Debt input'!G63)</f>
        <v>Fixed</v>
      </c>
      <c r="G57" s="533" t="str">
        <f>IF('R6a - Net Debt input'!H63 = "","",'R6a - Net Debt input'!H63)</f>
        <v>Senior</v>
      </c>
      <c r="H57" s="205" t="str">
        <f>IF('R6a - Net Debt input'!I63 = "","",'R6a - Net Debt input'!I63)</f>
        <v>N/A</v>
      </c>
      <c r="I57" s="368">
        <f>IF('R6a - Net Debt input'!J63 = "","",'R6a - Net Debt input'!J63)</f>
        <v>2.7099999999999999E-2</v>
      </c>
      <c r="J57" s="200"/>
      <c r="K57" s="201"/>
      <c r="L57" s="202"/>
      <c r="M57" s="468">
        <v>1</v>
      </c>
      <c r="N57" s="468">
        <v>1.0788608400000002</v>
      </c>
      <c r="O57" s="468">
        <v>1.0847886499999999</v>
      </c>
      <c r="P57" s="468">
        <v>1.0818247400000001</v>
      </c>
      <c r="Q57" s="468">
        <v>1.0818247400000001</v>
      </c>
      <c r="R57" s="468">
        <v>1.0818247400000001</v>
      </c>
      <c r="S57" s="468">
        <v>1.0847886499999999</v>
      </c>
      <c r="T57" s="468">
        <v>1.0818247400000001</v>
      </c>
      <c r="U57" s="468">
        <v>1.0818247400000001</v>
      </c>
      <c r="V57" s="468">
        <v>1.0818247400000001</v>
      </c>
    </row>
    <row r="58" spans="2:22" outlineLevel="1">
      <c r="B58" s="236" t="s">
        <v>509</v>
      </c>
      <c r="C58" s="203">
        <f>IF('R6a - Net Debt input'!D64 = "","",'R6a - Net Debt input'!D64)</f>
        <v>43724</v>
      </c>
      <c r="D58" s="203">
        <f>IF('R6a - Net Debt input'!E64 = "","",'R6a - Net Debt input'!E64)</f>
        <v>46281</v>
      </c>
      <c r="E58" s="204" t="str">
        <f>IF('R6a - Net Debt input'!F64 = "","",'R6a - Net Debt input'!F64)</f>
        <v>7 YR FIXED RATE DEBT: PAY 1.37500% GBP 300.0 M MAT: 16-SEP-2026</v>
      </c>
      <c r="F58" s="205" t="str">
        <f>IF('R6a - Net Debt input'!G64 = "","",'R6a - Net Debt input'!G64)</f>
        <v>Fixed</v>
      </c>
      <c r="G58" s="533" t="str">
        <f>IF('R6a - Net Debt input'!H64 = "","",'R6a - Net Debt input'!H64)</f>
        <v>Senior</v>
      </c>
      <c r="H58" s="205" t="str">
        <f>IF('R6a - Net Debt input'!I64 = "","",'R6a - Net Debt input'!I64)</f>
        <v>N/A</v>
      </c>
      <c r="I58" s="368">
        <f>IF('R6a - Net Debt input'!J64 = "","",'R6a - Net Debt input'!J64)</f>
        <v>1.375E-2</v>
      </c>
      <c r="J58" s="200"/>
      <c r="K58" s="201"/>
      <c r="L58" s="202"/>
      <c r="M58" s="468">
        <v>4.3</v>
      </c>
      <c r="N58" s="468">
        <v>4.1555764899999996</v>
      </c>
      <c r="O58" s="468">
        <v>4.1738224400000004</v>
      </c>
      <c r="P58" s="468">
        <v>4.1586323800000002</v>
      </c>
      <c r="Q58" s="468">
        <v>4.1685239100000002</v>
      </c>
      <c r="R58" s="468">
        <v>1.9293747999999999</v>
      </c>
      <c r="S58" s="468">
        <v>0</v>
      </c>
      <c r="T58" s="468">
        <v>0</v>
      </c>
      <c r="U58" s="468">
        <v>0</v>
      </c>
      <c r="V58" s="468">
        <v>0</v>
      </c>
    </row>
    <row r="59" spans="2:22" outlineLevel="1">
      <c r="B59" s="236" t="s">
        <v>510</v>
      </c>
      <c r="C59" s="203">
        <f>IF('R6a - Net Debt input'!D65 = "","",'R6a - Net Debt input'!D65)</f>
        <v>43724</v>
      </c>
      <c r="D59" s="203">
        <f>IF('R6a - Net Debt input'!E65 = "","",'R6a - Net Debt input'!E65)</f>
        <v>50664</v>
      </c>
      <c r="E59" s="204" t="str">
        <f>IF('R6a - Net Debt input'!F65 = "","",'R6a - Net Debt input'!F65)</f>
        <v>19 YR FIXED RATE DEBT: PAY 2.00000% GBP 400.0 M MAT: 16-SEP-2038</v>
      </c>
      <c r="F59" s="205" t="str">
        <f>IF('R6a - Net Debt input'!G65 = "","",'R6a - Net Debt input'!G65)</f>
        <v>Fixed</v>
      </c>
      <c r="G59" s="533" t="str">
        <f>IF('R6a - Net Debt input'!H65 = "","",'R6a - Net Debt input'!H65)</f>
        <v>Senior</v>
      </c>
      <c r="H59" s="205" t="str">
        <f>IF('R6a - Net Debt input'!I65 = "","",'R6a - Net Debt input'!I65)</f>
        <v>N/A</v>
      </c>
      <c r="I59" s="368">
        <f>IF('R6a - Net Debt input'!J65 = "","",'R6a - Net Debt input'!J65)</f>
        <v>0.02</v>
      </c>
      <c r="J59" s="200"/>
      <c r="K59" s="201"/>
      <c r="L59" s="202"/>
      <c r="M59" s="468">
        <v>8.1999999999999993</v>
      </c>
      <c r="N59" s="468">
        <v>8.0903989799999998</v>
      </c>
      <c r="O59" s="468">
        <v>8.1259349200000006</v>
      </c>
      <c r="P59" s="468">
        <v>8.0963465699999997</v>
      </c>
      <c r="Q59" s="468">
        <v>8.115594569999999</v>
      </c>
      <c r="R59" s="468">
        <v>8.1126253500000001</v>
      </c>
      <c r="S59" s="468">
        <v>8.1259349200000006</v>
      </c>
      <c r="T59" s="468">
        <v>8.0963465699999997</v>
      </c>
      <c r="U59" s="468">
        <v>8.115594569999999</v>
      </c>
      <c r="V59" s="468">
        <v>8.1126253500000001</v>
      </c>
    </row>
    <row r="60" spans="2:22" outlineLevel="1">
      <c r="B60" s="236" t="s">
        <v>511</v>
      </c>
      <c r="C60" s="203">
        <f>IF('R6a - Net Debt input'!D66 = "","",'R6a - Net Debt input'!D66)</f>
        <v>43724</v>
      </c>
      <c r="D60" s="203">
        <f>IF('R6a - Net Debt input'!E66 = "","",'R6a - Net Debt input'!E66)</f>
        <v>50664</v>
      </c>
      <c r="E60" s="204" t="str">
        <f>IF('R6a - Net Debt input'!F66 = "","",'R6a - Net Debt input'!F66)</f>
        <v>19 YR FIXED RATE DEBT: PAY 2.00000% GBP 40.0 M MAT: 16-SEP-2038</v>
      </c>
      <c r="F60" s="205" t="str">
        <f>IF('R6a - Net Debt input'!G66 = "","",'R6a - Net Debt input'!G66)</f>
        <v>Fixed</v>
      </c>
      <c r="G60" s="533" t="str">
        <f>IF('R6a - Net Debt input'!H66 = "","",'R6a - Net Debt input'!H66)</f>
        <v>Senior</v>
      </c>
      <c r="H60" s="205" t="str">
        <f>IF('R6a - Net Debt input'!I66 = "","",'R6a - Net Debt input'!I66)</f>
        <v>N/A</v>
      </c>
      <c r="I60" s="368">
        <f>IF('R6a - Net Debt input'!J66 = "","",'R6a - Net Debt input'!J66)</f>
        <v>0.02</v>
      </c>
      <c r="J60" s="200"/>
      <c r="K60" s="201"/>
      <c r="L60" s="202"/>
      <c r="M60" s="468">
        <v>0.8</v>
      </c>
      <c r="N60" s="468">
        <v>0.83250201000000001</v>
      </c>
      <c r="O60" s="468">
        <v>0.83616866999999995</v>
      </c>
      <c r="P60" s="468">
        <v>0.83311261000000003</v>
      </c>
      <c r="Q60" s="468">
        <v>0.83508601999999998</v>
      </c>
      <c r="R60" s="468">
        <v>0.83478909999999995</v>
      </c>
      <c r="S60" s="468">
        <v>0.83616866999999995</v>
      </c>
      <c r="T60" s="468">
        <v>0.83311261000000003</v>
      </c>
      <c r="U60" s="468">
        <v>0.83508601999999998</v>
      </c>
      <c r="V60" s="468">
        <v>0.83478909999999995</v>
      </c>
    </row>
    <row r="61" spans="2:22" outlineLevel="1">
      <c r="B61" s="236" t="s">
        <v>512</v>
      </c>
      <c r="C61" s="203">
        <f>IF('R6a - Net Debt input'!D67 = "","",'R6a - Net Debt input'!D67)</f>
        <v>43809</v>
      </c>
      <c r="D61" s="203">
        <f>IF('R6a - Net Debt input'!E67 = "","",'R6a - Net Debt input'!E67)</f>
        <v>51114</v>
      </c>
      <c r="E61" s="204" t="str">
        <f>IF('R6a - Net Debt input'!F67 = "","",'R6a - Net Debt input'!F67)</f>
        <v>20 YR FIXED RATE DEBT: PAY 3.12000% AUD 82.0 M MAT: 10-DEC-2039</v>
      </c>
      <c r="F61" s="205" t="str">
        <f>IF('R6a - Net Debt input'!G67 = "","",'R6a - Net Debt input'!G67)</f>
        <v>Fixed</v>
      </c>
      <c r="G61" s="533" t="str">
        <f>IF('R6a - Net Debt input'!H67 = "","",'R6a - Net Debt input'!H67)</f>
        <v>Senior</v>
      </c>
      <c r="H61" s="205" t="str">
        <f>IF('R6a - Net Debt input'!I67 = "","",'R6a - Net Debt input'!I67)</f>
        <v>N/A</v>
      </c>
      <c r="I61" s="368">
        <f>IF('R6a - Net Debt input'!J67 = "","",'R6a - Net Debt input'!J67)</f>
        <v>3.1199999999999999E-2</v>
      </c>
      <c r="J61" s="200"/>
      <c r="K61" s="201"/>
      <c r="L61" s="202"/>
      <c r="M61" s="468">
        <v>1.4</v>
      </c>
      <c r="N61" s="468">
        <v>1.45501189</v>
      </c>
      <c r="O61" s="468">
        <v>1.4630064700000001</v>
      </c>
      <c r="P61" s="468">
        <v>1.45900918</v>
      </c>
      <c r="Q61" s="468">
        <v>1.45900918</v>
      </c>
      <c r="R61" s="468">
        <v>1.45900918</v>
      </c>
      <c r="S61" s="468">
        <v>1.4630064700000001</v>
      </c>
      <c r="T61" s="468">
        <v>1.45900918</v>
      </c>
      <c r="U61" s="468">
        <v>1.45900918</v>
      </c>
      <c r="V61" s="468">
        <v>1.45900918</v>
      </c>
    </row>
    <row r="62" spans="2:22" outlineLevel="1">
      <c r="B62" s="236" t="s">
        <v>513</v>
      </c>
      <c r="C62" s="203">
        <f>IF('R6a - Net Debt input'!D68 = "","",'R6a - Net Debt input'!D68)</f>
        <v>43818</v>
      </c>
      <c r="D62" s="203">
        <f>IF('R6a - Net Debt input'!E68 = "","",'R6a - Net Debt input'!E68)</f>
        <v>51123</v>
      </c>
      <c r="E62" s="204" t="str">
        <f>IF('R6a - Net Debt input'!F68 = "","",'R6a - Net Debt input'!F68)</f>
        <v>20 YR FIXED RATE DEBT: PAY 2.22600% GBP 50.0 M MAT: 19-DEC-2039</v>
      </c>
      <c r="F62" s="205" t="str">
        <f>IF('R6a - Net Debt input'!G68 = "","",'R6a - Net Debt input'!G68)</f>
        <v>Fixed</v>
      </c>
      <c r="G62" s="533" t="str">
        <f>IF('R6a - Net Debt input'!H68 = "","",'R6a - Net Debt input'!H68)</f>
        <v>Senior</v>
      </c>
      <c r="H62" s="205" t="str">
        <f>IF('R6a - Net Debt input'!I68 = "","",'R6a - Net Debt input'!I68)</f>
        <v>N/A</v>
      </c>
      <c r="I62" s="368">
        <f>IF('R6a - Net Debt input'!J68 = "","",'R6a - Net Debt input'!J68)</f>
        <v>2.2259999999999999E-2</v>
      </c>
      <c r="J62" s="200"/>
      <c r="K62" s="201"/>
      <c r="L62" s="202"/>
      <c r="M62" s="468">
        <v>1.1000000000000001</v>
      </c>
      <c r="N62" s="468">
        <v>1.1099506799999999</v>
      </c>
      <c r="O62" s="468">
        <v>1.1152690000000001</v>
      </c>
      <c r="P62" s="468">
        <v>1.1106529599999999</v>
      </c>
      <c r="Q62" s="468">
        <v>1.1130780500000002</v>
      </c>
      <c r="R62" s="468">
        <v>1.113</v>
      </c>
      <c r="S62" s="468">
        <v>1.1152690000000001</v>
      </c>
      <c r="T62" s="468">
        <v>1.1106529599999999</v>
      </c>
      <c r="U62" s="468">
        <v>1.1130780500000002</v>
      </c>
      <c r="V62" s="468">
        <v>1.113</v>
      </c>
    </row>
    <row r="63" spans="2:22" outlineLevel="1">
      <c r="B63" s="236" t="s">
        <v>514</v>
      </c>
      <c r="C63" s="203">
        <f>IF('R6a - Net Debt input'!D69 = "","",'R6a - Net Debt input'!D69)</f>
        <v>43850</v>
      </c>
      <c r="D63" s="203">
        <f>IF('R6a - Net Debt input'!E69 = "","",'R6a - Net Debt input'!E69)</f>
        <v>45677</v>
      </c>
      <c r="E63" s="204" t="str">
        <f>IF('R6a - Net Debt input'!F69 = "","",'R6a - Net Debt input'!F69)</f>
        <v>5 YR FIXED RATE DEBT: PAY 0.19000% EUR 500.0 M MAT: 20-JAN-2025</v>
      </c>
      <c r="F63" s="205" t="str">
        <f>IF('R6a - Net Debt input'!G69 = "","",'R6a - Net Debt input'!G69)</f>
        <v>Fixed</v>
      </c>
      <c r="G63" s="533" t="str">
        <f>IF('R6a - Net Debt input'!H69 = "","",'R6a - Net Debt input'!H69)</f>
        <v>Senior</v>
      </c>
      <c r="H63" s="205" t="str">
        <f>IF('R6a - Net Debt input'!I69 = "","",'R6a - Net Debt input'!I69)</f>
        <v>N/A</v>
      </c>
      <c r="I63" s="368">
        <f>IF('R6a - Net Debt input'!J69 = "","",'R6a - Net Debt input'!J69)</f>
        <v>1.9E-3</v>
      </c>
      <c r="J63" s="200"/>
      <c r="K63" s="201"/>
      <c r="L63" s="202"/>
      <c r="M63" s="468">
        <v>1</v>
      </c>
      <c r="N63" s="468">
        <v>0.79828341000000003</v>
      </c>
      <c r="O63" s="468">
        <v>0.80217828000000002</v>
      </c>
      <c r="P63" s="468">
        <v>0.64519724000000001</v>
      </c>
      <c r="Q63" s="468">
        <v>0</v>
      </c>
      <c r="R63" s="468">
        <v>0</v>
      </c>
      <c r="S63" s="468">
        <v>0</v>
      </c>
      <c r="T63" s="468">
        <v>0</v>
      </c>
      <c r="U63" s="468">
        <v>0</v>
      </c>
      <c r="V63" s="468">
        <v>0</v>
      </c>
    </row>
    <row r="64" spans="2:22" outlineLevel="1">
      <c r="B64" s="236" t="s">
        <v>515</v>
      </c>
      <c r="C64" s="203">
        <f>IF('R6a - Net Debt input'!D70 = "","",'R6a - Net Debt input'!D70)</f>
        <v>43854</v>
      </c>
      <c r="D64" s="203">
        <f>IF('R6a - Net Debt input'!E70 = "","",'R6a - Net Debt input'!E70)</f>
        <v>46776</v>
      </c>
      <c r="E64" s="204" t="str">
        <f>IF('R6a - Net Debt input'!F70 = "","",'R6a - Net Debt input'!F70)</f>
        <v>8 YR FIXED RATE DEBT: PAY 2.24500% HKD 422.0 M MAT: 24-JAN-2028</v>
      </c>
      <c r="F64" s="205" t="str">
        <f>IF('R6a - Net Debt input'!G70 = "","",'R6a - Net Debt input'!G70)</f>
        <v>Fixed</v>
      </c>
      <c r="G64" s="533" t="str">
        <f>IF('R6a - Net Debt input'!H70 = "","",'R6a - Net Debt input'!H70)</f>
        <v>Senior</v>
      </c>
      <c r="H64" s="205" t="str">
        <f>IF('R6a - Net Debt input'!I70 = "","",'R6a - Net Debt input'!I70)</f>
        <v>N/A</v>
      </c>
      <c r="I64" s="368">
        <f>IF('R6a - Net Debt input'!J70 = "","",'R6a - Net Debt input'!J70)</f>
        <v>2.2450000000000001E-2</v>
      </c>
      <c r="J64" s="200"/>
      <c r="K64" s="201"/>
      <c r="L64" s="202"/>
      <c r="M64" s="468">
        <v>0.9</v>
      </c>
      <c r="N64" s="468">
        <v>0.91761256999999996</v>
      </c>
      <c r="O64" s="468">
        <v>0.92265439000000005</v>
      </c>
      <c r="P64" s="468">
        <v>0.92013347999999995</v>
      </c>
      <c r="Q64" s="468">
        <v>0.92013347999999995</v>
      </c>
      <c r="R64" s="468">
        <v>0.92013347999999995</v>
      </c>
      <c r="S64" s="468">
        <v>0.75375318000000002</v>
      </c>
      <c r="T64" s="468">
        <v>0</v>
      </c>
      <c r="U64" s="468">
        <v>0</v>
      </c>
      <c r="V64" s="468">
        <v>0</v>
      </c>
    </row>
    <row r="65" spans="2:22" outlineLevel="1">
      <c r="B65" s="236" t="s">
        <v>516</v>
      </c>
      <c r="C65" s="203">
        <f>IF('R6a - Net Debt input'!D71 = "","",'R6a - Net Debt input'!D71)</f>
        <v>43859</v>
      </c>
      <c r="D65" s="203">
        <f>IF('R6a - Net Debt input'!E71 = "","",'R6a - Net Debt input'!E71)</f>
        <v>47877</v>
      </c>
      <c r="E65" s="204" t="str">
        <f>IF('R6a - Net Debt input'!F71 = "","",'R6a - Net Debt input'!F71)</f>
        <v>11 YR FIXED RATE DEBT: PAY 2.50000% USD 85.0 M MAT: 29-JAN-2031</v>
      </c>
      <c r="F65" s="205" t="str">
        <f>IF('R6a - Net Debt input'!G71 = "","",'R6a - Net Debt input'!G71)</f>
        <v>Fixed</v>
      </c>
      <c r="G65" s="533" t="str">
        <f>IF('R6a - Net Debt input'!H71 = "","",'R6a - Net Debt input'!H71)</f>
        <v>Senior</v>
      </c>
      <c r="H65" s="205" t="str">
        <f>IF('R6a - Net Debt input'!I71 = "","",'R6a - Net Debt input'!I71)</f>
        <v>N/A</v>
      </c>
      <c r="I65" s="368">
        <f>IF('R6a - Net Debt input'!J71 = "","",'R6a - Net Debt input'!J71)</f>
        <v>2.5000000000000001E-2</v>
      </c>
      <c r="J65" s="200"/>
      <c r="K65" s="201"/>
      <c r="L65" s="202"/>
      <c r="M65" s="468">
        <v>1.6</v>
      </c>
      <c r="N65" s="468">
        <v>1.6167687399999999</v>
      </c>
      <c r="O65" s="468">
        <v>1.6167687399999999</v>
      </c>
      <c r="P65" s="468">
        <v>1.6167687399999999</v>
      </c>
      <c r="Q65" s="468">
        <v>1.6167687399999999</v>
      </c>
      <c r="R65" s="468">
        <v>1.6167687399999999</v>
      </c>
      <c r="S65" s="468">
        <v>1.6167687399999999</v>
      </c>
      <c r="T65" s="468">
        <v>1.6167687399999999</v>
      </c>
      <c r="U65" s="468">
        <v>1.6167687399999999</v>
      </c>
      <c r="V65" s="468">
        <v>1.3383252299999999</v>
      </c>
    </row>
    <row r="66" spans="2:22" outlineLevel="1">
      <c r="B66" s="236" t="s">
        <v>517</v>
      </c>
      <c r="C66" s="203">
        <f>IF('R6a - Net Debt input'!D72 = "","",'R6a - Net Debt input'!D72)</f>
        <v>43881</v>
      </c>
      <c r="D66" s="203">
        <f>IF('R6a - Net Debt input'!E72 = "","",'R6a - Net Debt input'!E72)</f>
        <v>51186</v>
      </c>
      <c r="E66" s="204" t="str">
        <f>IF('R6a - Net Debt input'!F72 = "","",'R6a - Net Debt input'!F72)</f>
        <v>20 YR FIXED RATE DEBT: PAY 1.15100% EUR 100.0 M MAT: 20-FEB-2040</v>
      </c>
      <c r="F66" s="205" t="str">
        <f>IF('R6a - Net Debt input'!G72 = "","",'R6a - Net Debt input'!G72)</f>
        <v>Fixed</v>
      </c>
      <c r="G66" s="533" t="str">
        <f>IF('R6a - Net Debt input'!H72 = "","",'R6a - Net Debt input'!H72)</f>
        <v>Senior</v>
      </c>
      <c r="H66" s="205" t="str">
        <f>IF('R6a - Net Debt input'!I72 = "","",'R6a - Net Debt input'!I72)</f>
        <v>N/A</v>
      </c>
      <c r="I66" s="368">
        <f>IF('R6a - Net Debt input'!J72 = "","",'R6a - Net Debt input'!J72)</f>
        <v>1.1509999999999999E-2</v>
      </c>
      <c r="J66" s="200"/>
      <c r="K66" s="201"/>
      <c r="L66" s="202"/>
      <c r="M66" s="468">
        <v>1</v>
      </c>
      <c r="N66" s="468">
        <v>0.96956806000000006</v>
      </c>
      <c r="O66" s="468">
        <v>0.97210213000000001</v>
      </c>
      <c r="P66" s="468">
        <v>0.96748696000000001</v>
      </c>
      <c r="Q66" s="468">
        <v>0.96924922999999996</v>
      </c>
      <c r="R66" s="468">
        <v>0.96537243000000006</v>
      </c>
      <c r="S66" s="468">
        <v>0.97478128000000008</v>
      </c>
      <c r="T66" s="468">
        <v>0.96985281999999995</v>
      </c>
      <c r="U66" s="468">
        <v>0.96981393999999999</v>
      </c>
      <c r="V66" s="468">
        <v>0.96985273999999999</v>
      </c>
    </row>
    <row r="67" spans="2:22" outlineLevel="1">
      <c r="B67" s="236" t="s">
        <v>518</v>
      </c>
      <c r="C67" s="203">
        <f>IF('R6a - Net Debt input'!D73 = "","",'R6a - Net Debt input'!D73)</f>
        <v>43902</v>
      </c>
      <c r="D67" s="203">
        <f>IF('R6a - Net Debt input'!E73 = "","",'R6a - Net Debt input'!E73)</f>
        <v>48285</v>
      </c>
      <c r="E67" s="204" t="str">
        <f>IF('R6a - Net Debt input'!F73 = "","",'R6a - Net Debt input'!F73)</f>
        <v>12 YR FIXED RATE DEBT: PAY 2.02000% AUD 70.0 M MAT: 12-MAR-2032</v>
      </c>
      <c r="F67" s="205" t="str">
        <f>IF('R6a - Net Debt input'!G73 = "","",'R6a - Net Debt input'!G73)</f>
        <v>Fixed</v>
      </c>
      <c r="G67" s="533" t="str">
        <f>IF('R6a - Net Debt input'!H73 = "","",'R6a - Net Debt input'!H73)</f>
        <v>Senior</v>
      </c>
      <c r="H67" s="205" t="str">
        <f>IF('R6a - Net Debt input'!I73 = "","",'R6a - Net Debt input'!I73)</f>
        <v>N/A</v>
      </c>
      <c r="I67" s="368">
        <f>IF('R6a - Net Debt input'!J73 = "","",'R6a - Net Debt input'!J73)</f>
        <v>2.0199999999999999E-2</v>
      </c>
      <c r="J67" s="200"/>
      <c r="K67" s="201"/>
      <c r="L67" s="202"/>
      <c r="M67" s="468">
        <v>0.8</v>
      </c>
      <c r="N67" s="468">
        <v>0.80418734999999997</v>
      </c>
      <c r="O67" s="468">
        <v>0.80637859999999995</v>
      </c>
      <c r="P67" s="468">
        <v>0.80637859999999995</v>
      </c>
      <c r="Q67" s="468">
        <v>0.80637859999999995</v>
      </c>
      <c r="R67" s="468">
        <v>0.80637859999999995</v>
      </c>
      <c r="S67" s="468">
        <v>0.80637859999999995</v>
      </c>
      <c r="T67" s="468">
        <v>0.80637859999999995</v>
      </c>
      <c r="U67" s="468">
        <v>0.80637859999999995</v>
      </c>
      <c r="V67" s="468">
        <v>0.80637859999999995</v>
      </c>
    </row>
    <row r="68" spans="2:22" outlineLevel="1">
      <c r="B68" s="236" t="s">
        <v>519</v>
      </c>
      <c r="C68" s="203">
        <f>IF('R6a - Net Debt input'!D74 = "","",'R6a - Net Debt input'!D74)</f>
        <v>43938</v>
      </c>
      <c r="D68" s="203">
        <f>IF('R6a - Net Debt input'!E74 = "","",'R6a - Net Debt input'!E74)</f>
        <v>51243</v>
      </c>
      <c r="E68" s="204" t="str">
        <f>IF('R6a - Net Debt input'!F74 = "","",'R6a - Net Debt input'!F74)</f>
        <v>20 YR FIXED RATE DEBT: PAY 2.00000% GBP 400.0 M MAT: 17-APR-2040</v>
      </c>
      <c r="F68" s="205" t="str">
        <f>IF('R6a - Net Debt input'!G74 = "","",'R6a - Net Debt input'!G74)</f>
        <v>Fixed</v>
      </c>
      <c r="G68" s="533" t="str">
        <f>IF('R6a - Net Debt input'!H74 = "","",'R6a - Net Debt input'!H74)</f>
        <v>Senior</v>
      </c>
      <c r="H68" s="205" t="str">
        <f>IF('R6a - Net Debt input'!I74 = "","",'R6a - Net Debt input'!I74)</f>
        <v>N/A</v>
      </c>
      <c r="I68" s="368">
        <f>IF('R6a - Net Debt input'!J74 = "","",'R6a - Net Debt input'!J74)</f>
        <v>0.02</v>
      </c>
      <c r="J68" s="200"/>
      <c r="K68" s="201"/>
      <c r="L68" s="202"/>
      <c r="M68" s="468">
        <v>8.3000000000000007</v>
      </c>
      <c r="N68" s="468">
        <v>8.2618930000000006</v>
      </c>
      <c r="O68" s="468">
        <v>8.286915539999999</v>
      </c>
      <c r="P68" s="468">
        <v>8.2815416800000001</v>
      </c>
      <c r="Q68" s="468">
        <v>8.2853142999999996</v>
      </c>
      <c r="R68" s="468">
        <v>8.2845905099999992</v>
      </c>
      <c r="S68" s="468">
        <v>8.286915539999999</v>
      </c>
      <c r="T68" s="468">
        <v>8.2815416800000001</v>
      </c>
      <c r="U68" s="468">
        <v>8.2853142999999996</v>
      </c>
      <c r="V68" s="468">
        <v>8.2845905099999992</v>
      </c>
    </row>
    <row r="69" spans="2:22" outlineLevel="1">
      <c r="B69" s="236" t="s">
        <v>520</v>
      </c>
      <c r="C69" s="203">
        <f>IF('R6a - Net Debt input'!D75 = "","",'R6a - Net Debt input'!D75)</f>
        <v>44036</v>
      </c>
      <c r="D69" s="203">
        <f>IF('R6a - Net Debt input'!E75 = "","",'R6a - Net Debt input'!E75)</f>
        <v>49514</v>
      </c>
      <c r="E69" s="204" t="str">
        <f>IF('R6a - Net Debt input'!F75 = "","",'R6a - Net Debt input'!F75)</f>
        <v>15 YR FIXED RATE DEBT: PAY 2.50000% AUD 55.0 M MAT: 24-JUL-2035</v>
      </c>
      <c r="F69" s="205" t="str">
        <f>IF('R6a - Net Debt input'!G75 = "","",'R6a - Net Debt input'!G75)</f>
        <v>Fixed</v>
      </c>
      <c r="G69" s="533" t="str">
        <f>IF('R6a - Net Debt input'!H75 = "","",'R6a - Net Debt input'!H75)</f>
        <v>Senior</v>
      </c>
      <c r="H69" s="205" t="str">
        <f>IF('R6a - Net Debt input'!I75 = "","",'R6a - Net Debt input'!I75)</f>
        <v>N/A</v>
      </c>
      <c r="I69" s="368">
        <f>IF('R6a - Net Debt input'!J75 = "","",'R6a - Net Debt input'!J75)</f>
        <v>2.5000000000000001E-2</v>
      </c>
      <c r="J69" s="200"/>
      <c r="K69" s="201"/>
      <c r="L69" s="202"/>
      <c r="M69" s="468">
        <v>0.8</v>
      </c>
      <c r="N69" s="468">
        <v>0.78413759999999999</v>
      </c>
      <c r="O69" s="468">
        <v>0.78413759999999999</v>
      </c>
      <c r="P69" s="468">
        <v>0.78413759999999999</v>
      </c>
      <c r="Q69" s="468">
        <v>0.78413759999999999</v>
      </c>
      <c r="R69" s="468">
        <v>0.78413759999999999</v>
      </c>
      <c r="S69" s="468">
        <v>0.78413759999999999</v>
      </c>
      <c r="T69" s="468">
        <v>0.78413759999999999</v>
      </c>
      <c r="U69" s="468">
        <v>0.78413759999999999</v>
      </c>
      <c r="V69" s="468">
        <v>0.78413759999999999</v>
      </c>
    </row>
    <row r="70" spans="2:22" outlineLevel="1">
      <c r="B70" s="236" t="s">
        <v>521</v>
      </c>
      <c r="C70" s="203">
        <f>IF('R6a - Net Debt input'!D76 = "","",'R6a - Net Debt input'!D76)</f>
        <v>44019</v>
      </c>
      <c r="D70" s="203">
        <f>IF('R6a - Net Debt input'!E76 = "","",'R6a - Net Debt input'!E76)</f>
        <v>48402</v>
      </c>
      <c r="E70" s="204" t="str">
        <f>IF('R6a - Net Debt input'!F76 = "","",'R6a - Net Debt input'!F76)</f>
        <v>12 YR FIXED RATE DEBT: PAY 0.82300% EUR 750.0 M MAT: 07-JUL-2032</v>
      </c>
      <c r="F70" s="205" t="str">
        <f>IF('R6a - Net Debt input'!G76 = "","",'R6a - Net Debt input'!G76)</f>
        <v>Fixed</v>
      </c>
      <c r="G70" s="533" t="str">
        <f>IF('R6a - Net Debt input'!H76 = "","",'R6a - Net Debt input'!H76)</f>
        <v>Senior</v>
      </c>
      <c r="H70" s="205" t="str">
        <f>IF('R6a - Net Debt input'!I76 = "","",'R6a - Net Debt input'!I76)</f>
        <v>N/A</v>
      </c>
      <c r="I70" s="368">
        <f>IF('R6a - Net Debt input'!J76 = "","",'R6a - Net Debt input'!J76)</f>
        <v>8.2299999999999995E-3</v>
      </c>
      <c r="J70" s="200"/>
      <c r="K70" s="201"/>
      <c r="L70" s="202"/>
      <c r="M70" s="468">
        <v>5.4</v>
      </c>
      <c r="N70" s="468">
        <v>5.1865995199999997</v>
      </c>
      <c r="O70" s="468">
        <v>5.2065167499999996</v>
      </c>
      <c r="P70" s="468">
        <v>5.1933170099999995</v>
      </c>
      <c r="Q70" s="468">
        <v>5.2027115000000004</v>
      </c>
      <c r="R70" s="468">
        <v>5.2008484199999998</v>
      </c>
      <c r="S70" s="468">
        <v>5.2065167499999996</v>
      </c>
      <c r="T70" s="468">
        <v>5.1933170099999995</v>
      </c>
      <c r="U70" s="468">
        <v>5.2027115000000004</v>
      </c>
      <c r="V70" s="468">
        <v>5.2008484199999998</v>
      </c>
    </row>
    <row r="71" spans="2:22" outlineLevel="1">
      <c r="B71" s="236" t="s">
        <v>522</v>
      </c>
      <c r="C71" s="203">
        <f>IF('R6a - Net Debt input'!D77 = "","",'R6a - Net Debt input'!D77)</f>
        <v>44161</v>
      </c>
      <c r="D71" s="203">
        <f>IF('R6a - Net Debt input'!E77 = "","",'R6a - Net Debt input'!E77)</f>
        <v>51466</v>
      </c>
      <c r="E71" s="204" t="str">
        <f>IF('R6a - Net Debt input'!F77 = "","",'R6a - Net Debt input'!F77)</f>
        <v>20 YR FIXED RATE DEBT: PAY 0.87200% EUR 200.0 M MAT: 26-NOV-2040</v>
      </c>
      <c r="F71" s="205" t="str">
        <f>IF('R6a - Net Debt input'!G77 = "","",'R6a - Net Debt input'!G77)</f>
        <v>Fixed</v>
      </c>
      <c r="G71" s="533" t="str">
        <f>IF('R6a - Net Debt input'!H77 = "","",'R6a - Net Debt input'!H77)</f>
        <v>Senior</v>
      </c>
      <c r="H71" s="205" t="str">
        <f>IF('R6a - Net Debt input'!I77 = "","",'R6a - Net Debt input'!I77)</f>
        <v>N/A</v>
      </c>
      <c r="I71" s="368">
        <f>IF('R6a - Net Debt input'!J77 = "","",'R6a - Net Debt input'!J77)</f>
        <v>8.7200000000000003E-3</v>
      </c>
      <c r="J71" s="200"/>
      <c r="K71" s="201"/>
      <c r="L71" s="202"/>
      <c r="M71" s="468">
        <v>1.5</v>
      </c>
      <c r="N71" s="468">
        <v>1.46544019</v>
      </c>
      <c r="O71" s="468">
        <v>1.47236568</v>
      </c>
      <c r="P71" s="468">
        <v>1.46630612</v>
      </c>
      <c r="Q71" s="468">
        <v>1.46972657</v>
      </c>
      <c r="R71" s="468">
        <v>1.4694661200000001</v>
      </c>
      <c r="S71" s="468">
        <v>1.47236568</v>
      </c>
      <c r="T71" s="468">
        <v>1.46630612</v>
      </c>
      <c r="U71" s="468">
        <v>1.46972657</v>
      </c>
      <c r="V71" s="468">
        <v>1.4694661200000001</v>
      </c>
    </row>
    <row r="72" spans="2:22" outlineLevel="1">
      <c r="B72" s="236" t="s">
        <v>523</v>
      </c>
      <c r="C72" s="203">
        <f>IF('R6a - Net Debt input'!D78 = "","",'R6a - Net Debt input'!D78)</f>
        <v>44161</v>
      </c>
      <c r="D72" s="203">
        <f>IF('R6a - Net Debt input'!E78 = "","",'R6a - Net Debt input'!E78)</f>
        <v>51466</v>
      </c>
      <c r="E72" s="204" t="str">
        <f>IF('R6a - Net Debt input'!F78 = "","",'R6a - Net Debt input'!F78)</f>
        <v>20 YR FIXED RATE DEBT: PAY 0.87200% EUR 300.0 M MAT: 26-NOV-2040</v>
      </c>
      <c r="F72" s="205" t="str">
        <f>IF('R6a - Net Debt input'!G78 = "","",'R6a - Net Debt input'!G78)</f>
        <v>Fixed</v>
      </c>
      <c r="G72" s="533" t="str">
        <f>IF('R6a - Net Debt input'!H78 = "","",'R6a - Net Debt input'!H78)</f>
        <v>Senior</v>
      </c>
      <c r="H72" s="205" t="str">
        <f>IF('R6a - Net Debt input'!I78 = "","",'R6a - Net Debt input'!I78)</f>
        <v>N/A</v>
      </c>
      <c r="I72" s="368">
        <f>IF('R6a - Net Debt input'!J78 = "","",'R6a - Net Debt input'!J78)</f>
        <v>8.7200000000000003E-3</v>
      </c>
      <c r="J72" s="200"/>
      <c r="K72" s="201"/>
      <c r="L72" s="202"/>
      <c r="M72" s="468">
        <v>2.2999999999999998</v>
      </c>
      <c r="N72" s="468">
        <v>2.2510530800000002</v>
      </c>
      <c r="O72" s="468">
        <v>2.2616962000000003</v>
      </c>
      <c r="P72" s="468">
        <v>2.2523877000000003</v>
      </c>
      <c r="Q72" s="468">
        <v>2.2576279599999998</v>
      </c>
      <c r="R72" s="468">
        <v>2.25723729</v>
      </c>
      <c r="S72" s="468">
        <v>2.2616962000000003</v>
      </c>
      <c r="T72" s="468">
        <v>2.2523877000000003</v>
      </c>
      <c r="U72" s="468">
        <v>2.2576279599999998</v>
      </c>
      <c r="V72" s="468">
        <v>2.25723729</v>
      </c>
    </row>
    <row r="73" spans="2:22" outlineLevel="1">
      <c r="B73" s="236" t="s">
        <v>524</v>
      </c>
      <c r="C73" s="203">
        <f>IF('R6a - Net Debt input'!D79 = "","",'R6a - Net Debt input'!D79)</f>
        <v>44019</v>
      </c>
      <c r="D73" s="203">
        <f>IF('R6a - Net Debt input'!E79 = "","",'R6a - Net Debt input'!E79)</f>
        <v>46941</v>
      </c>
      <c r="E73" s="204" t="str">
        <f>IF('R6a - Net Debt input'!F79 = "","",'R6a - Net Debt input'!F79)</f>
        <v>8 YR FIXED RATE DEBT: PAY 1.12500% GBP 350.0 M MAT: 07-JUL-2028</v>
      </c>
      <c r="F73" s="205" t="str">
        <f>IF('R6a - Net Debt input'!G79 = "","",'R6a - Net Debt input'!G79)</f>
        <v>Fixed</v>
      </c>
      <c r="G73" s="533" t="str">
        <f>IF('R6a - Net Debt input'!H79 = "","",'R6a - Net Debt input'!H79)</f>
        <v>Senior</v>
      </c>
      <c r="H73" s="205" t="str">
        <f>IF('R6a - Net Debt input'!I79 = "","",'R6a - Net Debt input'!I79)</f>
        <v>N/A</v>
      </c>
      <c r="I73" s="368">
        <f>IF('R6a - Net Debt input'!J79 = "","",'R6a - Net Debt input'!J79)</f>
        <v>1.125E-2</v>
      </c>
      <c r="J73" s="200"/>
      <c r="K73" s="201"/>
      <c r="L73" s="202"/>
      <c r="M73" s="468">
        <v>4.2</v>
      </c>
      <c r="N73" s="468">
        <v>4.1304602800000003</v>
      </c>
      <c r="O73" s="468">
        <v>4.1465212300000003</v>
      </c>
      <c r="P73" s="468">
        <v>4.1356836599999998</v>
      </c>
      <c r="Q73" s="468">
        <v>4.1432182200000005</v>
      </c>
      <c r="R73" s="468">
        <v>4.1418077000000002</v>
      </c>
      <c r="S73" s="468">
        <v>4.1465212300000003</v>
      </c>
      <c r="T73" s="468">
        <v>1.1076057000000001</v>
      </c>
      <c r="U73" s="468">
        <v>0</v>
      </c>
      <c r="V73" s="468">
        <v>0</v>
      </c>
    </row>
    <row r="74" spans="2:22" outlineLevel="1">
      <c r="B74" s="236" t="s">
        <v>525</v>
      </c>
      <c r="C74" s="203">
        <f>IF('R6a - Net Debt input'!D80 = "","",'R6a - Net Debt input'!D80)</f>
        <v>44039</v>
      </c>
      <c r="D74" s="203">
        <f>IF('R6a - Net Debt input'!E80 = "","",'R6a - Net Debt input'!E80)</f>
        <v>46961</v>
      </c>
      <c r="E74" s="204" t="str">
        <f>IF('R6a - Net Debt input'!F80 = "","",'R6a - Net Debt input'!F80)</f>
        <v>8 YR FIXED RATE DEBT: PAY 1.04450% GBP 100.0 M MAT: 27-JUL-2028</v>
      </c>
      <c r="F74" s="205" t="str">
        <f>IF('R6a - Net Debt input'!G80 = "","",'R6a - Net Debt input'!G80)</f>
        <v>Fixed</v>
      </c>
      <c r="G74" s="533" t="str">
        <f>IF('R6a - Net Debt input'!H80 = "","",'R6a - Net Debt input'!H80)</f>
        <v>Senior</v>
      </c>
      <c r="H74" s="205" t="str">
        <f>IF('R6a - Net Debt input'!I80 = "","",'R6a - Net Debt input'!I80)</f>
        <v>N/A</v>
      </c>
      <c r="I74" s="368">
        <f>IF('R6a - Net Debt input'!J80 = "","",'R6a - Net Debt input'!J80)</f>
        <v>1.0444999999999999E-2</v>
      </c>
      <c r="J74" s="200"/>
      <c r="K74" s="201"/>
      <c r="L74" s="202"/>
      <c r="M74" s="468">
        <v>1</v>
      </c>
      <c r="N74" s="468">
        <v>1.0416383600000001</v>
      </c>
      <c r="O74" s="468">
        <v>1.0458204200000001</v>
      </c>
      <c r="P74" s="468">
        <v>1.0427797299999999</v>
      </c>
      <c r="Q74" s="468">
        <v>1.04489985</v>
      </c>
      <c r="R74" s="468">
        <v>1.0445</v>
      </c>
      <c r="S74" s="468">
        <v>1.0458204200000001</v>
      </c>
      <c r="T74" s="468">
        <v>0.33635355</v>
      </c>
      <c r="U74" s="468">
        <v>0</v>
      </c>
      <c r="V74" s="468">
        <v>0</v>
      </c>
    </row>
    <row r="75" spans="2:22" outlineLevel="1">
      <c r="B75" s="236" t="s">
        <v>526</v>
      </c>
      <c r="C75" s="203">
        <f>IF('R6a - Net Debt input'!D81 = "","",'R6a - Net Debt input'!D81)</f>
        <v>44067</v>
      </c>
      <c r="D75" s="203">
        <f>IF('R6a - Net Debt input'!E81 = "","",'R6a - Net Debt input'!E81)</f>
        <v>51372</v>
      </c>
      <c r="E75" s="204" t="str">
        <f>IF('R6a - Net Debt input'!F81 = "","",'R6a - Net Debt input'!F81)</f>
        <v>20 YR FIXED RATE DEBT: PAY 1.60800% GBP 50.0 M MAT: 24-AUG-2040</v>
      </c>
      <c r="F75" s="205" t="str">
        <f>IF('R6a - Net Debt input'!G81 = "","",'R6a - Net Debt input'!G81)</f>
        <v>Fixed</v>
      </c>
      <c r="G75" s="533" t="str">
        <f>IF('R6a - Net Debt input'!H81 = "","",'R6a - Net Debt input'!H81)</f>
        <v>Senior</v>
      </c>
      <c r="H75" s="205" t="str">
        <f>IF('R6a - Net Debt input'!I81 = "","",'R6a - Net Debt input'!I81)</f>
        <v>N/A</v>
      </c>
      <c r="I75" s="368">
        <f>IF('R6a - Net Debt input'!J81 = "","",'R6a - Net Debt input'!J81)</f>
        <v>1.6080000000000001E-2</v>
      </c>
      <c r="J75" s="200"/>
      <c r="K75" s="201"/>
      <c r="L75" s="202"/>
      <c r="M75" s="468">
        <v>0.8</v>
      </c>
      <c r="N75" s="468">
        <v>0.80177900999999996</v>
      </c>
      <c r="O75" s="468">
        <v>0.80578168000000006</v>
      </c>
      <c r="P75" s="468">
        <v>0.80221831999999993</v>
      </c>
      <c r="Q75" s="468">
        <v>0.80400000000000005</v>
      </c>
      <c r="R75" s="468">
        <v>0.80400000000000005</v>
      </c>
      <c r="S75" s="468">
        <v>0.80578168000000006</v>
      </c>
      <c r="T75" s="468">
        <v>0.80221831999999993</v>
      </c>
      <c r="U75" s="468">
        <v>0.80400000000000005</v>
      </c>
      <c r="V75" s="468">
        <v>0.80400000000000005</v>
      </c>
    </row>
    <row r="76" spans="2:22" outlineLevel="1">
      <c r="B76" s="236" t="s">
        <v>527</v>
      </c>
      <c r="C76" s="203">
        <f>IF('R6a - Net Debt input'!D82 = "","",'R6a - Net Debt input'!D82)</f>
        <v>44357</v>
      </c>
      <c r="D76" s="203">
        <f>IF('R6a - Net Debt input'!E82 = "","",'R6a - Net Debt input'!E82)</f>
        <v>49836</v>
      </c>
      <c r="E76" s="204" t="str">
        <f>IF('R6a - Net Debt input'!F82 = "","",'R6a - Net Debt input'!F82)</f>
        <v>15 YR FIXED RATE DEBT: PAY 3.35000% AUD 55.0 M MAT: 10-JUN-2036</v>
      </c>
      <c r="F76" s="205" t="str">
        <f>IF('R6a - Net Debt input'!G82 = "","",'R6a - Net Debt input'!G82)</f>
        <v>Fixed</v>
      </c>
      <c r="G76" s="533" t="str">
        <f>IF('R6a - Net Debt input'!H82 = "","",'R6a - Net Debt input'!H82)</f>
        <v>Senior</v>
      </c>
      <c r="H76" s="205" t="str">
        <f>IF('R6a - Net Debt input'!I82 = "","",'R6a - Net Debt input'!I82)</f>
        <v>N/A</v>
      </c>
      <c r="I76" s="368">
        <f>IF('R6a - Net Debt input'!J82 = "","",'R6a - Net Debt input'!J82)</f>
        <v>3.3500000000000002E-2</v>
      </c>
      <c r="J76" s="200"/>
      <c r="K76" s="201"/>
      <c r="L76" s="202"/>
      <c r="M76" s="468">
        <v>0.8</v>
      </c>
      <c r="N76" s="468">
        <v>1.0507443799999998</v>
      </c>
      <c r="O76" s="468">
        <v>1.0507443799999998</v>
      </c>
      <c r="P76" s="468">
        <v>1.0507443799999998</v>
      </c>
      <c r="Q76" s="468">
        <v>1.0507443799999998</v>
      </c>
      <c r="R76" s="468">
        <v>1.0507443799999998</v>
      </c>
      <c r="S76" s="468">
        <v>1.0507443799999998</v>
      </c>
      <c r="T76" s="468">
        <v>1.0507443799999998</v>
      </c>
      <c r="U76" s="468">
        <v>1.0507443799999998</v>
      </c>
      <c r="V76" s="468">
        <v>1.0507443799999998</v>
      </c>
    </row>
    <row r="77" spans="2:22" outlineLevel="1">
      <c r="B77" s="236" t="s">
        <v>528</v>
      </c>
      <c r="C77" s="203">
        <f>IF('R6a - Net Debt input'!D83 = "","",'R6a - Net Debt input'!D83)</f>
        <v>44369</v>
      </c>
      <c r="D77" s="203">
        <f>IF('R6a - Net Debt input'!E83 = "","",'R6a - Net Debt input'!E83)</f>
        <v>47291</v>
      </c>
      <c r="E77" s="204" t="str">
        <f>IF('R6a - Net Debt input'!F83 = "","",'R6a - Net Debt input'!F83)</f>
        <v>8 YR FIXED RATE DEBT: PAY 2.30100% CAD 850.0 M MAT: 22-JUN-2029</v>
      </c>
      <c r="F77" s="205" t="str">
        <f>IF('R6a - Net Debt input'!G83 = "","",'R6a - Net Debt input'!G83)</f>
        <v>Fixed</v>
      </c>
      <c r="G77" s="533" t="str">
        <f>IF('R6a - Net Debt input'!H83 = "","",'R6a - Net Debt input'!H83)</f>
        <v>Senior</v>
      </c>
      <c r="H77" s="205" t="str">
        <f>IF('R6a - Net Debt input'!I83 = "","",'R6a - Net Debt input'!I83)</f>
        <v>N/A</v>
      </c>
      <c r="I77" s="368">
        <f>IF('R6a - Net Debt input'!J83 = "","",'R6a - Net Debt input'!J83)</f>
        <v>2.3009999999999999E-2</v>
      </c>
      <c r="J77" s="200"/>
      <c r="K77" s="201"/>
      <c r="L77" s="202"/>
      <c r="M77" s="468">
        <v>9.1</v>
      </c>
      <c r="N77" s="468">
        <v>11.89290782</v>
      </c>
      <c r="O77" s="468">
        <v>11.95021916</v>
      </c>
      <c r="P77" s="468">
        <v>11.90094212</v>
      </c>
      <c r="Q77" s="468">
        <v>11.92558064</v>
      </c>
      <c r="R77" s="468">
        <v>11.92558064</v>
      </c>
      <c r="S77" s="468">
        <v>11.95021916</v>
      </c>
      <c r="T77" s="468">
        <v>11.90094212</v>
      </c>
      <c r="U77" s="468">
        <v>2.7118443599999997</v>
      </c>
      <c r="V77" s="468">
        <v>0</v>
      </c>
    </row>
    <row r="78" spans="2:22" outlineLevel="1">
      <c r="B78" s="236" t="s">
        <v>529</v>
      </c>
      <c r="C78" s="203">
        <f>IF('R6a - Net Debt input'!D84 = "","",'R6a - Net Debt input'!D84)</f>
        <v>44403</v>
      </c>
      <c r="D78" s="203">
        <f>IF('R6a - Net Debt input'!E84 = "","",'R6a - Net Debt input'!E84)</f>
        <v>51466</v>
      </c>
      <c r="E78" s="204" t="str">
        <f>IF('R6a - Net Debt input'!F84 = "","",'R6a - Net Debt input'!F84)</f>
        <v>20 YR FIXED RATE DEBT: PAY 0.87200% EUR 40.0 M MAT: 26-NOV-2040</v>
      </c>
      <c r="F78" s="205" t="str">
        <f>IF('R6a - Net Debt input'!G84 = "","",'R6a - Net Debt input'!G84)</f>
        <v>Fixed</v>
      </c>
      <c r="G78" s="533" t="str">
        <f>IF('R6a - Net Debt input'!H84 = "","",'R6a - Net Debt input'!H84)</f>
        <v>Senior</v>
      </c>
      <c r="H78" s="205" t="str">
        <f>IF('R6a - Net Debt input'!I84 = "","",'R6a - Net Debt input'!I84)</f>
        <v>N/A</v>
      </c>
      <c r="I78" s="368">
        <f>IF('R6a - Net Debt input'!J84 = "","",'R6a - Net Debt input'!J84)</f>
        <v>8.7200000000000003E-3</v>
      </c>
      <c r="J78" s="200"/>
      <c r="K78" s="201"/>
      <c r="L78" s="202"/>
      <c r="M78" s="468">
        <v>0.2</v>
      </c>
      <c r="N78" s="468">
        <v>0.33023319000000007</v>
      </c>
      <c r="O78" s="468">
        <v>0.33179729000000002</v>
      </c>
      <c r="P78" s="468">
        <v>0.33043148</v>
      </c>
      <c r="Q78" s="468">
        <v>0.33119252000000005</v>
      </c>
      <c r="R78" s="468">
        <v>0.33114042999999999</v>
      </c>
      <c r="S78" s="468">
        <v>0.33179729000000002</v>
      </c>
      <c r="T78" s="468">
        <v>0.33043148</v>
      </c>
      <c r="U78" s="468">
        <v>0.33119252000000005</v>
      </c>
      <c r="V78" s="468">
        <v>0.33114042999999999</v>
      </c>
    </row>
    <row r="79" spans="2:22" outlineLevel="1">
      <c r="B79" s="236" t="s">
        <v>530</v>
      </c>
      <c r="C79" s="203">
        <f>IF('R6a - Net Debt input'!D85 = "","",'R6a - Net Debt input'!D85)</f>
        <v>44469</v>
      </c>
      <c r="D79" s="203">
        <f>IF('R6a - Net Debt input'!E85 = "","",'R6a - Net Debt input'!E85)</f>
        <v>52870</v>
      </c>
      <c r="E79" s="204" t="str">
        <f>IF('R6a - Net Debt input'!F85 = "","",'R6a - Net Debt input'!F85)</f>
        <v>23 YR FIXED RATE DEBT: PAY 2.92000% AUD 125.0 M MAT: 30-SEP-2044</v>
      </c>
      <c r="F79" s="205" t="str">
        <f>IF('R6a - Net Debt input'!G85 = "","",'R6a - Net Debt input'!G85)</f>
        <v>Fixed</v>
      </c>
      <c r="G79" s="533" t="str">
        <f>IF('R6a - Net Debt input'!H85 = "","",'R6a - Net Debt input'!H85)</f>
        <v>Senior</v>
      </c>
      <c r="H79" s="205" t="str">
        <f>IF('R6a - Net Debt input'!I85 = "","",'R6a - Net Debt input'!I85)</f>
        <v>N/A</v>
      </c>
      <c r="I79" s="368">
        <f>IF('R6a - Net Debt input'!J85 = "","",'R6a - Net Debt input'!J85)</f>
        <v>2.92E-2</v>
      </c>
      <c r="J79" s="200"/>
      <c r="K79" s="201"/>
      <c r="L79" s="202"/>
      <c r="M79" s="468">
        <v>1</v>
      </c>
      <c r="N79" s="468">
        <v>2.0757468800000001</v>
      </c>
      <c r="O79" s="468">
        <v>2.0815288999999999</v>
      </c>
      <c r="P79" s="468">
        <v>2.0815288999999999</v>
      </c>
      <c r="Q79" s="468">
        <v>2.0815288999999999</v>
      </c>
      <c r="R79" s="468">
        <v>2.0815288999999999</v>
      </c>
      <c r="S79" s="468">
        <v>2.0815288999999999</v>
      </c>
      <c r="T79" s="468">
        <v>2.0815288999999999</v>
      </c>
      <c r="U79" s="468">
        <v>2.0815288999999999</v>
      </c>
      <c r="V79" s="468">
        <v>2.0815288999999999</v>
      </c>
    </row>
    <row r="80" spans="2:22" outlineLevel="1">
      <c r="B80" s="236" t="s">
        <v>531</v>
      </c>
      <c r="C80" s="203">
        <f>IF('R6a - Net Debt input'!D86 = "","",'R6a - Net Debt input'!D86)</f>
        <v>44455</v>
      </c>
      <c r="D80" s="203">
        <f>IF('R6a - Net Debt input'!E86 = "","",'R6a - Net Debt input'!E86)</f>
        <v>51760</v>
      </c>
      <c r="E80" s="204" t="str">
        <f>IF('R6a - Net Debt input'!F86 = "","",'R6a - Net Debt input'!F86)</f>
        <v>20 YR FIXED RATE DEBT: PAY 1.69000% GBP 50.0 M MAT: 16-SEP-2041</v>
      </c>
      <c r="F80" s="205" t="str">
        <f>IF('R6a - Net Debt input'!G86 = "","",'R6a - Net Debt input'!G86)</f>
        <v>Fixed</v>
      </c>
      <c r="G80" s="533" t="str">
        <f>IF('R6a - Net Debt input'!H86 = "","",'R6a - Net Debt input'!H86)</f>
        <v>Senior</v>
      </c>
      <c r="H80" s="205" t="str">
        <f>IF('R6a - Net Debt input'!I86 = "","",'R6a - Net Debt input'!I86)</f>
        <v>N/A</v>
      </c>
      <c r="I80" s="368">
        <f>IF('R6a - Net Debt input'!J86 = "","",'R6a - Net Debt input'!J86)</f>
        <v>1.6899999999999998E-2</v>
      </c>
      <c r="J80" s="200"/>
      <c r="K80" s="201"/>
      <c r="L80" s="202"/>
      <c r="M80" s="468">
        <v>0.5</v>
      </c>
      <c r="N80" s="468">
        <v>0.85190849999999996</v>
      </c>
      <c r="O80" s="468">
        <v>0.85564927000000002</v>
      </c>
      <c r="P80" s="468">
        <v>0.85253493000000002</v>
      </c>
      <c r="Q80" s="468">
        <v>0.85456253000000004</v>
      </c>
      <c r="R80" s="468">
        <v>0.85424891000000003</v>
      </c>
      <c r="S80" s="468">
        <v>0.85564927000000002</v>
      </c>
      <c r="T80" s="468">
        <v>0.85253493000000002</v>
      </c>
      <c r="U80" s="468">
        <v>0.85456253000000004</v>
      </c>
      <c r="V80" s="468">
        <v>0.85424891000000003</v>
      </c>
    </row>
    <row r="81" spans="2:29" outlineLevel="1">
      <c r="B81" s="236" t="s">
        <v>532</v>
      </c>
      <c r="C81" s="203">
        <f>IF('R6a - Net Debt input'!D87 = "","",'R6a - Net Debt input'!D87)</f>
        <v>44642</v>
      </c>
      <c r="D81" s="203">
        <f>IF('R6a - Net Debt input'!E87 = "","",'R6a - Net Debt input'!E87)</f>
        <v>51466</v>
      </c>
      <c r="E81" s="204" t="str">
        <f>IF('R6a - Net Debt input'!F87 = "","",'R6a - Net Debt input'!F87)</f>
        <v>19 YR FIXED RATE DEBT: PAY 0.87200% EUR 100.0 M MAT: 26-NOV-2040</v>
      </c>
      <c r="F81" s="205" t="str">
        <f>IF('R6a - Net Debt input'!G87 = "","",'R6a - Net Debt input'!G87)</f>
        <v>Fixed</v>
      </c>
      <c r="G81" s="533" t="str">
        <f>IF('R6a - Net Debt input'!H87 = "","",'R6a - Net Debt input'!H87)</f>
        <v>Senior</v>
      </c>
      <c r="H81" s="205" t="str">
        <f>IF('R6a - Net Debt input'!I87 = "","",'R6a - Net Debt input'!I87)</f>
        <v>N/A</v>
      </c>
      <c r="I81" s="368">
        <f>IF('R6a - Net Debt input'!J87 = "","",'R6a - Net Debt input'!J87)</f>
        <v>8.7200000000000003E-3</v>
      </c>
      <c r="J81" s="200"/>
      <c r="K81" s="201"/>
      <c r="L81" s="202"/>
      <c r="M81" s="468">
        <v>0</v>
      </c>
      <c r="N81" s="468">
        <v>1.7983539100000001</v>
      </c>
      <c r="O81" s="468">
        <v>1.8069518900000001</v>
      </c>
      <c r="P81" s="468">
        <v>1.79950677</v>
      </c>
      <c r="Q81" s="468">
        <v>1.8034246599999999</v>
      </c>
      <c r="R81" s="468">
        <v>1.8032944399999999</v>
      </c>
      <c r="S81" s="468">
        <v>1.8069518900000001</v>
      </c>
      <c r="T81" s="468">
        <v>1.79950677</v>
      </c>
      <c r="U81" s="468">
        <v>1.8034246599999999</v>
      </c>
      <c r="V81" s="468">
        <v>1.8032944399999999</v>
      </c>
    </row>
    <row r="82" spans="2:29" outlineLevel="1">
      <c r="B82" s="236"/>
      <c r="C82" s="203" t="str">
        <f>IF('R6a - Net Debt input'!D88 = "","",'R6a - Net Debt input'!D88)</f>
        <v/>
      </c>
      <c r="D82" s="203" t="str">
        <f>IF('R6a - Net Debt input'!E88 = "","",'R6a - Net Debt input'!E88)</f>
        <v/>
      </c>
      <c r="E82" s="204" t="str">
        <f>IF('R6a - Net Debt input'!F88 = "","",'R6a - Net Debt input'!F88)</f>
        <v/>
      </c>
      <c r="F82" s="205" t="str">
        <f>IF('R6a - Net Debt input'!G88 = "","",'R6a - Net Debt input'!G88)</f>
        <v/>
      </c>
      <c r="G82" s="533" t="str">
        <f>IF('R6a - Net Debt input'!H88 = "","",'R6a - Net Debt input'!H88)</f>
        <v/>
      </c>
      <c r="H82" s="205" t="str">
        <f>IF('R6a - Net Debt input'!I88 = "","",'R6a - Net Debt input'!I88)</f>
        <v/>
      </c>
      <c r="I82" s="368" t="str">
        <f>IF('R6a - Net Debt input'!J88 = "","",'R6a - Net Debt input'!J88)</f>
        <v/>
      </c>
      <c r="J82" s="200"/>
      <c r="K82" s="201"/>
      <c r="L82" s="202"/>
      <c r="M82" s="468">
        <v>0</v>
      </c>
      <c r="N82" s="468">
        <v>0</v>
      </c>
      <c r="O82" s="468">
        <v>0</v>
      </c>
      <c r="P82" s="468">
        <v>0</v>
      </c>
      <c r="Q82" s="468">
        <v>0</v>
      </c>
      <c r="R82" s="468">
        <v>0</v>
      </c>
      <c r="S82" s="468">
        <v>0</v>
      </c>
      <c r="T82" s="468">
        <v>0</v>
      </c>
      <c r="U82" s="468">
        <v>0</v>
      </c>
      <c r="V82" s="468">
        <v>0</v>
      </c>
    </row>
    <row r="83" spans="2:29" outlineLevel="1">
      <c r="B83" s="236"/>
      <c r="C83" s="203" t="str">
        <f>IF('R6a - Net Debt input'!D89 = "","",'R6a - Net Debt input'!D89)</f>
        <v/>
      </c>
      <c r="D83" s="203" t="str">
        <f>IF('R6a - Net Debt input'!E89 = "","",'R6a - Net Debt input'!E89)</f>
        <v/>
      </c>
      <c r="E83" s="204" t="str">
        <f>IF('R6a - Net Debt input'!F89 = "","",'R6a - Net Debt input'!F89)</f>
        <v/>
      </c>
      <c r="F83" s="205" t="str">
        <f>IF('R6a - Net Debt input'!G89 = "","",'R6a - Net Debt input'!G89)</f>
        <v/>
      </c>
      <c r="G83" s="533" t="str">
        <f>IF('R6a - Net Debt input'!H89 = "","",'R6a - Net Debt input'!H89)</f>
        <v/>
      </c>
      <c r="H83" s="205" t="str">
        <f>IF('R6a - Net Debt input'!I89 = "","",'R6a - Net Debt input'!I89)</f>
        <v/>
      </c>
      <c r="I83" s="368" t="str">
        <f>IF('R6a - Net Debt input'!J89 = "","",'R6a - Net Debt input'!J89)</f>
        <v/>
      </c>
      <c r="J83" s="200"/>
      <c r="K83" s="201"/>
      <c r="L83" s="202"/>
      <c r="M83" s="468">
        <v>0</v>
      </c>
      <c r="N83" s="468">
        <v>0</v>
      </c>
      <c r="O83" s="468">
        <v>0</v>
      </c>
      <c r="P83" s="468">
        <v>0</v>
      </c>
      <c r="Q83" s="468">
        <v>0</v>
      </c>
      <c r="R83" s="468">
        <v>0</v>
      </c>
      <c r="S83" s="468">
        <v>0</v>
      </c>
      <c r="T83" s="468">
        <v>0</v>
      </c>
      <c r="U83" s="468">
        <v>0</v>
      </c>
      <c r="V83" s="468">
        <v>0</v>
      </c>
    </row>
    <row r="84" spans="2:29" outlineLevel="1">
      <c r="B84" s="236"/>
      <c r="C84" s="203" t="str">
        <f>IF('R6a - Net Debt input'!D90 = "","",'R6a - Net Debt input'!D90)</f>
        <v/>
      </c>
      <c r="D84" s="203" t="str">
        <f>IF('R6a - Net Debt input'!E90 = "","",'R6a - Net Debt input'!E90)</f>
        <v/>
      </c>
      <c r="E84" s="204" t="str">
        <f>IF('R6a - Net Debt input'!F90 = "","",'R6a - Net Debt input'!F90)</f>
        <v/>
      </c>
      <c r="F84" s="205" t="str">
        <f>IF('R6a - Net Debt input'!G90 = "","",'R6a - Net Debt input'!G90)</f>
        <v/>
      </c>
      <c r="G84" s="533" t="str">
        <f>IF('R6a - Net Debt input'!H90 = "","",'R6a - Net Debt input'!H90)</f>
        <v/>
      </c>
      <c r="H84" s="205" t="str">
        <f>IF('R6a - Net Debt input'!I90 = "","",'R6a - Net Debt input'!I90)</f>
        <v/>
      </c>
      <c r="I84" s="368" t="str">
        <f>IF('R6a - Net Debt input'!J90 = "","",'R6a - Net Debt input'!J90)</f>
        <v/>
      </c>
      <c r="J84" s="200"/>
      <c r="K84" s="201"/>
      <c r="L84" s="202"/>
      <c r="M84" s="468">
        <v>0</v>
      </c>
      <c r="N84" s="468">
        <v>0</v>
      </c>
      <c r="O84" s="468">
        <v>0</v>
      </c>
      <c r="P84" s="468">
        <v>0</v>
      </c>
      <c r="Q84" s="468">
        <v>0</v>
      </c>
      <c r="R84" s="468">
        <v>0</v>
      </c>
      <c r="S84" s="468">
        <v>0</v>
      </c>
      <c r="T84" s="468">
        <v>0</v>
      </c>
      <c r="U84" s="468">
        <v>0</v>
      </c>
      <c r="V84" s="468">
        <v>0</v>
      </c>
    </row>
    <row r="85" spans="2:29" outlineLevel="1">
      <c r="C85" s="150"/>
      <c r="E85" s="150"/>
      <c r="F85" s="150"/>
      <c r="L85" s="981" t="s">
        <v>355</v>
      </c>
      <c r="M85" s="470">
        <f t="shared" ref="M85:V85" si="1">SUM(M19:M84)</f>
        <v>255.20000000000005</v>
      </c>
      <c r="N85" s="471">
        <f t="shared" si="1"/>
        <v>390.8018027861271</v>
      </c>
      <c r="O85" s="471">
        <f t="shared" si="1"/>
        <v>270.388377048579</v>
      </c>
      <c r="P85" s="471">
        <f t="shared" si="1"/>
        <v>216.18222993511748</v>
      </c>
      <c r="Q85" s="471">
        <f t="shared" si="1"/>
        <v>217.49521885171393</v>
      </c>
      <c r="R85" s="471">
        <f t="shared" si="1"/>
        <v>228.75433193449359</v>
      </c>
      <c r="S85" s="471">
        <f t="shared" si="1"/>
        <v>220.80972364572716</v>
      </c>
      <c r="T85" s="472">
        <f t="shared" si="1"/>
        <v>213.98565959619958</v>
      </c>
      <c r="U85" s="473">
        <f t="shared" si="1"/>
        <v>206.31205356698567</v>
      </c>
      <c r="V85" s="471">
        <f t="shared" si="1"/>
        <v>186.07445692828074</v>
      </c>
    </row>
    <row r="86" spans="2:29" outlineLevel="1">
      <c r="C86" s="150"/>
      <c r="E86" s="155"/>
      <c r="F86" s="155"/>
      <c r="L86" s="303"/>
      <c r="M86" s="155"/>
      <c r="N86" s="155"/>
      <c r="O86" s="155"/>
      <c r="P86" s="155"/>
      <c r="Q86" s="155"/>
      <c r="R86" s="155"/>
      <c r="S86" s="155"/>
      <c r="T86" s="155"/>
      <c r="U86" s="285"/>
      <c r="V86" s="155"/>
      <c r="W86" s="155"/>
      <c r="X86" s="155"/>
      <c r="Y86" s="155"/>
      <c r="Z86" s="155"/>
      <c r="AA86" s="155"/>
      <c r="AB86" s="155"/>
      <c r="AC86" s="155"/>
    </row>
    <row r="87" spans="2:29" ht="17.5" outlineLevel="1">
      <c r="D87" s="265" t="s">
        <v>533</v>
      </c>
      <c r="E87" s="266"/>
      <c r="F87" s="266"/>
      <c r="G87" s="266"/>
      <c r="H87" s="266"/>
      <c r="I87" s="266"/>
      <c r="J87" s="266"/>
      <c r="K87" s="266"/>
      <c r="L87" s="304"/>
      <c r="M87" s="266"/>
      <c r="N87" s="266"/>
      <c r="O87" s="266"/>
      <c r="P87" s="266"/>
      <c r="Q87" s="266"/>
      <c r="R87" s="266"/>
      <c r="S87" s="266"/>
      <c r="T87" s="266"/>
      <c r="U87" s="284"/>
      <c r="V87" s="266"/>
    </row>
    <row r="88" spans="2:29" ht="17.5" outlineLevel="1">
      <c r="D88" s="154"/>
      <c r="L88" s="166"/>
      <c r="U88" s="283"/>
    </row>
    <row r="89" spans="2:29" ht="40.5" outlineLevel="1">
      <c r="B89" s="1181" t="s">
        <v>534</v>
      </c>
      <c r="C89" s="764" t="str">
        <f t="shared" ref="C89:I98" si="2">C17</f>
        <v>Issue date</v>
      </c>
      <c r="D89" s="765" t="str">
        <f t="shared" si="2"/>
        <v>Maturity date</v>
      </c>
      <c r="E89" s="765" t="str">
        <f t="shared" si="2"/>
        <v>Description</v>
      </c>
      <c r="F89" s="765" t="str">
        <f t="shared" si="2"/>
        <v>Bond type</v>
      </c>
      <c r="G89" s="765" t="str">
        <f t="shared" si="2"/>
        <v>Payment rank</v>
      </c>
      <c r="H89" s="766" t="str">
        <f t="shared" si="2"/>
        <v>Reference rate</v>
      </c>
      <c r="I89" s="767" t="str">
        <f t="shared" si="2"/>
        <v>Coupon rate / margin spread on reference rate</v>
      </c>
      <c r="L89" s="166"/>
      <c r="U89" s="283"/>
    </row>
    <row r="90" spans="2:29" outlineLevel="1">
      <c r="B90" s="982"/>
      <c r="C90" s="246" t="str">
        <f t="shared" si="2"/>
        <v>dd/mm/yyyy</v>
      </c>
      <c r="D90" s="264" t="str">
        <f t="shared" si="2"/>
        <v>dd/mm/yyyy</v>
      </c>
      <c r="E90" s="247" t="str">
        <f t="shared" si="2"/>
        <v/>
      </c>
      <c r="F90" s="247" t="str">
        <f t="shared" si="2"/>
        <v/>
      </c>
      <c r="G90" s="247" t="str">
        <f t="shared" si="2"/>
        <v/>
      </c>
      <c r="H90" s="247" t="str">
        <f t="shared" si="2"/>
        <v/>
      </c>
      <c r="I90" s="248" t="str">
        <f t="shared" si="2"/>
        <v>%</v>
      </c>
      <c r="L90" s="166"/>
      <c r="M90" s="190" t="s">
        <v>469</v>
      </c>
      <c r="N90" s="191" t="s">
        <v>469</v>
      </c>
      <c r="O90" s="191" t="s">
        <v>469</v>
      </c>
      <c r="P90" s="191" t="s">
        <v>469</v>
      </c>
      <c r="Q90" s="191" t="s">
        <v>469</v>
      </c>
      <c r="R90" s="191" t="s">
        <v>469</v>
      </c>
      <c r="S90" s="191" t="s">
        <v>469</v>
      </c>
      <c r="T90" s="275" t="s">
        <v>469</v>
      </c>
      <c r="U90" s="286" t="s">
        <v>469</v>
      </c>
      <c r="V90" s="191" t="s">
        <v>469</v>
      </c>
    </row>
    <row r="91" spans="2:29" outlineLevel="1">
      <c r="B91" s="236" t="s">
        <v>470</v>
      </c>
      <c r="C91" s="597">
        <f t="shared" si="2"/>
        <v>41179</v>
      </c>
      <c r="D91" s="597">
        <f t="shared" si="2"/>
        <v>48484</v>
      </c>
      <c r="E91" s="598" t="str">
        <f t="shared" si="2"/>
        <v>20 YR FIXED RATE DEBT: PAY 3.35000% EUR 100.0 M MAT: 27-SEP-2032</v>
      </c>
      <c r="F91" s="599" t="str">
        <f t="shared" si="2"/>
        <v>Fixed</v>
      </c>
      <c r="G91" s="600" t="str">
        <f t="shared" si="2"/>
        <v>Senior</v>
      </c>
      <c r="H91" s="599" t="str">
        <f t="shared" si="2"/>
        <v>N/A</v>
      </c>
      <c r="I91" s="601">
        <f t="shared" si="2"/>
        <v>3.3500000000000002E-2</v>
      </c>
      <c r="J91" s="200"/>
      <c r="K91" s="201"/>
      <c r="L91" s="202"/>
      <c r="M91" s="468">
        <v>2.9</v>
      </c>
      <c r="N91" s="468">
        <v>2.81492239</v>
      </c>
      <c r="O91" s="468">
        <v>2.82745581</v>
      </c>
      <c r="P91" s="468">
        <v>2.81685454</v>
      </c>
      <c r="Q91" s="468">
        <v>2.8236567200000002</v>
      </c>
      <c r="R91" s="468">
        <v>2.8226556899999999</v>
      </c>
      <c r="S91" s="468">
        <v>2.82745581</v>
      </c>
      <c r="T91" s="468">
        <v>2.81685454</v>
      </c>
      <c r="U91" s="468">
        <v>2.8236567200000002</v>
      </c>
      <c r="V91" s="468">
        <v>2.8226556899999999</v>
      </c>
    </row>
    <row r="92" spans="2:29" outlineLevel="1">
      <c r="B92" s="236" t="s">
        <v>471</v>
      </c>
      <c r="C92" s="597">
        <f t="shared" si="2"/>
        <v>41304</v>
      </c>
      <c r="D92" s="597">
        <f t="shared" si="2"/>
        <v>49339</v>
      </c>
      <c r="E92" s="598" t="str">
        <f t="shared" si="2"/>
        <v>22 YR FIXED RATE DEBT: PAY 3.21000% EUR 100.0 M MAT: 30-JAN-2035</v>
      </c>
      <c r="F92" s="599" t="str">
        <f t="shared" si="2"/>
        <v>Fixed</v>
      </c>
      <c r="G92" s="600" t="str">
        <f t="shared" si="2"/>
        <v>Senior</v>
      </c>
      <c r="H92" s="599" t="str">
        <f t="shared" si="2"/>
        <v>N/A</v>
      </c>
      <c r="I92" s="601">
        <f t="shared" si="2"/>
        <v>3.2099999999999997E-2</v>
      </c>
      <c r="J92" s="200"/>
      <c r="K92" s="201"/>
      <c r="L92" s="202"/>
      <c r="M92" s="468">
        <v>2.7</v>
      </c>
      <c r="N92" s="468">
        <v>2.6973803799999998</v>
      </c>
      <c r="O92" s="468">
        <v>2.7106746899999998</v>
      </c>
      <c r="P92" s="468">
        <v>2.6986167000000001</v>
      </c>
      <c r="Q92" s="468">
        <v>2.7046939600000002</v>
      </c>
      <c r="R92" s="468">
        <v>2.7047905000000001</v>
      </c>
      <c r="S92" s="468">
        <v>2.7106746899999998</v>
      </c>
      <c r="T92" s="468">
        <v>2.6986167000000001</v>
      </c>
      <c r="U92" s="468">
        <v>2.7046939600000002</v>
      </c>
      <c r="V92" s="468">
        <v>2.7047905000000001</v>
      </c>
    </row>
    <row r="93" spans="2:29" outlineLevel="1">
      <c r="B93" s="236" t="s">
        <v>472</v>
      </c>
      <c r="C93" s="597">
        <f t="shared" si="2"/>
        <v>36193</v>
      </c>
      <c r="D93" s="597">
        <f t="shared" si="2"/>
        <v>45324</v>
      </c>
      <c r="E93" s="598" t="str">
        <f t="shared" si="2"/>
        <v>25 YR FIXED RATE DEBT: PAY 5.87500% GBP 444.5 M MAT: 02-FEB-2024</v>
      </c>
      <c r="F93" s="599" t="str">
        <f t="shared" si="2"/>
        <v>Fixed</v>
      </c>
      <c r="G93" s="600" t="str">
        <f t="shared" si="2"/>
        <v>Senior</v>
      </c>
      <c r="H93" s="599" t="str">
        <f t="shared" si="2"/>
        <v>N/A</v>
      </c>
      <c r="I93" s="601">
        <f t="shared" si="2"/>
        <v>5.8749999999999997E-2</v>
      </c>
      <c r="J93" s="200"/>
      <c r="K93" s="201"/>
      <c r="L93" s="202"/>
      <c r="M93" s="468">
        <v>8.6</v>
      </c>
      <c r="N93" s="468">
        <v>8.6735510300000005</v>
      </c>
      <c r="O93" s="468">
        <v>7.2964133899999997</v>
      </c>
      <c r="P93" s="468">
        <v>0</v>
      </c>
      <c r="Q93" s="468">
        <v>0</v>
      </c>
      <c r="R93" s="468">
        <v>0</v>
      </c>
      <c r="S93" s="468">
        <v>0</v>
      </c>
      <c r="T93" s="468">
        <v>0</v>
      </c>
      <c r="U93" s="468">
        <v>0</v>
      </c>
      <c r="V93" s="468">
        <v>0</v>
      </c>
    </row>
    <row r="94" spans="2:29" outlineLevel="1">
      <c r="B94" s="236" t="s">
        <v>473</v>
      </c>
      <c r="C94" s="597">
        <f t="shared" si="2"/>
        <v>37099</v>
      </c>
      <c r="D94" s="597">
        <f t="shared" si="2"/>
        <v>46961</v>
      </c>
      <c r="E94" s="598" t="str">
        <f t="shared" si="2"/>
        <v>27 YR FIXED RATE DEBT: PAY 6.50000% GBP 297.819M MAT: 07/27/28</v>
      </c>
      <c r="F94" s="599" t="str">
        <f t="shared" si="2"/>
        <v>Fixed</v>
      </c>
      <c r="G94" s="600" t="str">
        <f t="shared" si="2"/>
        <v>Senior</v>
      </c>
      <c r="H94" s="599" t="str">
        <f t="shared" si="2"/>
        <v>N/A</v>
      </c>
      <c r="I94" s="601">
        <f t="shared" si="2"/>
        <v>6.5000000000000002E-2</v>
      </c>
      <c r="J94" s="200"/>
      <c r="K94" s="201"/>
      <c r="L94" s="202"/>
      <c r="M94" s="468">
        <v>3.6</v>
      </c>
      <c r="N94" s="468">
        <v>3.5853002699999998</v>
      </c>
      <c r="O94" s="468">
        <v>3.5996948600000001</v>
      </c>
      <c r="P94" s="468">
        <v>3.5892288699999999</v>
      </c>
      <c r="Q94" s="468">
        <v>3.59652627</v>
      </c>
      <c r="R94" s="468">
        <v>3.5951499999999998</v>
      </c>
      <c r="S94" s="468">
        <v>3.5996948600000001</v>
      </c>
      <c r="T94" s="468">
        <v>1.1577228100000001</v>
      </c>
      <c r="U94" s="468">
        <v>0</v>
      </c>
      <c r="V94" s="468">
        <v>0</v>
      </c>
    </row>
    <row r="95" spans="2:29" outlineLevel="1">
      <c r="B95" s="236" t="s">
        <v>474</v>
      </c>
      <c r="C95" s="597">
        <f t="shared" si="2"/>
        <v>38412</v>
      </c>
      <c r="D95" s="597">
        <f t="shared" si="2"/>
        <v>49369</v>
      </c>
      <c r="E95" s="598" t="str">
        <f t="shared" si="2"/>
        <v>30 YR FIXED RATE DEBT: PAY 5.00000% GBP 75.0 M MAT: 01-MAR-2035</v>
      </c>
      <c r="F95" s="599" t="str">
        <f t="shared" si="2"/>
        <v>Fixed</v>
      </c>
      <c r="G95" s="600" t="str">
        <f t="shared" si="2"/>
        <v>Senior</v>
      </c>
      <c r="H95" s="599" t="str">
        <f t="shared" si="2"/>
        <v>N/A</v>
      </c>
      <c r="I95" s="601">
        <f t="shared" si="2"/>
        <v>0.05</v>
      </c>
      <c r="J95" s="200"/>
      <c r="K95" s="201"/>
      <c r="L95" s="202"/>
      <c r="M95" s="468">
        <v>1.4</v>
      </c>
      <c r="N95" s="468">
        <v>1.4339853600000001</v>
      </c>
      <c r="O95" s="468">
        <v>1.43844628</v>
      </c>
      <c r="P95" s="468">
        <v>1.4382047</v>
      </c>
      <c r="Q95" s="468">
        <v>1.4381922</v>
      </c>
      <c r="R95" s="468">
        <v>1.43792561</v>
      </c>
      <c r="S95" s="468">
        <v>1.43844628</v>
      </c>
      <c r="T95" s="468">
        <v>1.4382047</v>
      </c>
      <c r="U95" s="468">
        <v>1.4381922</v>
      </c>
      <c r="V95" s="468">
        <v>1.43792561</v>
      </c>
    </row>
    <row r="96" spans="2:29" outlineLevel="1">
      <c r="B96" s="236" t="s">
        <v>475</v>
      </c>
      <c r="C96" s="597">
        <f t="shared" si="2"/>
        <v>39826</v>
      </c>
      <c r="D96" s="597">
        <f t="shared" si="2"/>
        <v>47861</v>
      </c>
      <c r="E96" s="598" t="str">
        <f t="shared" si="2"/>
        <v>22 YR FIXED RATE DEBT: PAY 7.37500% GBP 350.0 M MAT: 13-JAN-2031</v>
      </c>
      <c r="F96" s="599" t="str">
        <f t="shared" si="2"/>
        <v>Fixed</v>
      </c>
      <c r="G96" s="600" t="str">
        <f t="shared" si="2"/>
        <v>Senior</v>
      </c>
      <c r="H96" s="599" t="str">
        <f t="shared" si="2"/>
        <v>N/A</v>
      </c>
      <c r="I96" s="601">
        <f t="shared" si="2"/>
        <v>7.3749999999999996E-2</v>
      </c>
      <c r="J96" s="200"/>
      <c r="K96" s="201"/>
      <c r="L96" s="202"/>
      <c r="M96" s="468">
        <v>6.2</v>
      </c>
      <c r="N96" s="468">
        <v>6.2272725499999995</v>
      </c>
      <c r="O96" s="468">
        <v>6.2574835899999997</v>
      </c>
      <c r="P96" s="468">
        <v>6.2309251300000001</v>
      </c>
      <c r="Q96" s="468">
        <v>6.2442629500000004</v>
      </c>
      <c r="R96" s="468">
        <v>6.2443801199999998</v>
      </c>
      <c r="S96" s="468">
        <v>6.2574835899999997</v>
      </c>
      <c r="T96" s="468">
        <v>6.2309251300000001</v>
      </c>
      <c r="U96" s="468">
        <v>6.2442629500000004</v>
      </c>
      <c r="V96" s="468">
        <v>4.926980079999999</v>
      </c>
    </row>
    <row r="97" spans="2:22" outlineLevel="1">
      <c r="B97" s="236" t="s">
        <v>476</v>
      </c>
      <c r="C97" s="597">
        <f t="shared" si="2"/>
        <v>41068</v>
      </c>
      <c r="D97" s="597">
        <f t="shared" si="2"/>
        <v>46546</v>
      </c>
      <c r="E97" s="598" t="str">
        <f t="shared" si="2"/>
        <v>15 YR FIXED RATE DEBT: PAY 4.00000% GBP 400.0 M MAT: 08-JUN-2027</v>
      </c>
      <c r="F97" s="599" t="str">
        <f t="shared" si="2"/>
        <v>Fixed</v>
      </c>
      <c r="G97" s="600" t="str">
        <f t="shared" si="2"/>
        <v>Senior</v>
      </c>
      <c r="H97" s="599" t="str">
        <f t="shared" si="2"/>
        <v>N/A</v>
      </c>
      <c r="I97" s="601">
        <f t="shared" si="2"/>
        <v>0.04</v>
      </c>
      <c r="J97" s="200"/>
      <c r="K97" s="201"/>
      <c r="L97" s="202"/>
      <c r="M97" s="468">
        <v>5.0999999999999996</v>
      </c>
      <c r="N97" s="468">
        <v>5.1340621200000003</v>
      </c>
      <c r="O97" s="468">
        <v>5.1524503399999997</v>
      </c>
      <c r="P97" s="468">
        <v>5.1424013799999999</v>
      </c>
      <c r="Q97" s="468">
        <v>5.1496483500000005</v>
      </c>
      <c r="R97" s="468">
        <v>5.14816669</v>
      </c>
      <c r="S97" s="468">
        <v>0.97321506999999996</v>
      </c>
      <c r="T97" s="468">
        <v>0</v>
      </c>
      <c r="U97" s="468">
        <v>0</v>
      </c>
      <c r="V97" s="468">
        <v>0</v>
      </c>
    </row>
    <row r="98" spans="2:22" outlineLevel="1">
      <c r="B98" s="236" t="s">
        <v>477</v>
      </c>
      <c r="C98" s="597">
        <f t="shared" si="2"/>
        <v>41068</v>
      </c>
      <c r="D98" s="597">
        <f t="shared" si="2"/>
        <v>46546</v>
      </c>
      <c r="E98" s="598" t="str">
        <f t="shared" si="2"/>
        <v>15 YR FIXED RATE DEBT: PAY 4.00000% GBP 75.0 M MAT: 08-JUN-2027</v>
      </c>
      <c r="F98" s="599" t="str">
        <f t="shared" si="2"/>
        <v>Fixed</v>
      </c>
      <c r="G98" s="600" t="str">
        <f t="shared" si="2"/>
        <v>Senior</v>
      </c>
      <c r="H98" s="599" t="str">
        <f t="shared" si="2"/>
        <v>N/A</v>
      </c>
      <c r="I98" s="601">
        <f t="shared" si="2"/>
        <v>0.04</v>
      </c>
      <c r="J98" s="200"/>
      <c r="K98" s="201"/>
      <c r="L98" s="202"/>
      <c r="M98" s="468">
        <v>3</v>
      </c>
      <c r="N98" s="468">
        <v>2.8583217900000002</v>
      </c>
      <c r="O98" s="468">
        <v>2.8683223699999996</v>
      </c>
      <c r="P98" s="468">
        <v>2.8631461499999999</v>
      </c>
      <c r="Q98" s="468">
        <v>2.8670544499999999</v>
      </c>
      <c r="R98" s="468">
        <v>2.8661743199999998</v>
      </c>
      <c r="S98" s="468">
        <v>0.54182474000000003</v>
      </c>
      <c r="T98" s="468">
        <v>0</v>
      </c>
      <c r="U98" s="468">
        <v>0</v>
      </c>
      <c r="V98" s="468">
        <v>0</v>
      </c>
    </row>
    <row r="99" spans="2:22" outlineLevel="1">
      <c r="B99" s="236" t="s">
        <v>478</v>
      </c>
      <c r="C99" s="597">
        <f t="shared" ref="C99:I108" si="3">C27</f>
        <v>41068</v>
      </c>
      <c r="D99" s="597">
        <f t="shared" si="3"/>
        <v>46546</v>
      </c>
      <c r="E99" s="598" t="str">
        <f t="shared" si="3"/>
        <v>15 YR FIXED RATE DEBT: PAY 4.00000% GBP 50.0 M MAT: 08-JUN-2027</v>
      </c>
      <c r="F99" s="599" t="str">
        <f t="shared" si="3"/>
        <v>Fixed</v>
      </c>
      <c r="G99" s="600" t="str">
        <f t="shared" si="3"/>
        <v>Senior</v>
      </c>
      <c r="H99" s="599" t="str">
        <f t="shared" si="3"/>
        <v>N/A</v>
      </c>
      <c r="I99" s="601">
        <f t="shared" si="3"/>
        <v>0.04</v>
      </c>
      <c r="J99" s="200"/>
      <c r="K99" s="201"/>
      <c r="L99" s="202"/>
      <c r="M99" s="468">
        <v>2</v>
      </c>
      <c r="N99" s="468">
        <v>1.8187279100000002</v>
      </c>
      <c r="O99" s="468">
        <v>1.8249765800000002</v>
      </c>
      <c r="P99" s="468">
        <v>1.8218855</v>
      </c>
      <c r="Q99" s="468">
        <v>1.8243111699999999</v>
      </c>
      <c r="R99" s="468">
        <v>1.82372442</v>
      </c>
      <c r="S99" s="468">
        <v>0.34475886</v>
      </c>
      <c r="T99" s="468">
        <v>0</v>
      </c>
      <c r="U99" s="468">
        <v>0</v>
      </c>
      <c r="V99" s="468">
        <v>0</v>
      </c>
    </row>
    <row r="100" spans="2:22" outlineLevel="1">
      <c r="B100" s="236" t="s">
        <v>479</v>
      </c>
      <c r="C100" s="597">
        <f t="shared" si="3"/>
        <v>40809</v>
      </c>
      <c r="D100" s="597">
        <f t="shared" si="3"/>
        <v>46288</v>
      </c>
      <c r="E100" s="598" t="str">
        <f t="shared" si="3"/>
        <v>15 YR FIXED RATE DEBT: PAY 3.30000% HKD 250.0 M MAT: 23-SEP-2026</v>
      </c>
      <c r="F100" s="599" t="str">
        <f t="shared" si="3"/>
        <v>Fixed</v>
      </c>
      <c r="G100" s="600" t="str">
        <f t="shared" si="3"/>
        <v>Senior</v>
      </c>
      <c r="H100" s="599" t="str">
        <f t="shared" si="3"/>
        <v>N/A</v>
      </c>
      <c r="I100" s="601">
        <f t="shared" si="3"/>
        <v>3.3000000000000002E-2</v>
      </c>
      <c r="J100" s="200"/>
      <c r="K100" s="201"/>
      <c r="L100" s="202"/>
      <c r="M100" s="468">
        <v>0.8</v>
      </c>
      <c r="N100" s="468">
        <v>0.79906940000000004</v>
      </c>
      <c r="O100" s="468">
        <v>0.8034599</v>
      </c>
      <c r="P100" s="468">
        <v>0.80126465000000002</v>
      </c>
      <c r="Q100" s="468">
        <v>0.80126465000000002</v>
      </c>
      <c r="R100" s="468">
        <v>0.38636323</v>
      </c>
      <c r="S100" s="468">
        <v>0</v>
      </c>
      <c r="T100" s="468">
        <v>0</v>
      </c>
      <c r="U100" s="468">
        <v>0</v>
      </c>
      <c r="V100" s="468">
        <v>0</v>
      </c>
    </row>
    <row r="101" spans="2:22" outlineLevel="1">
      <c r="B101" s="236" t="s">
        <v>480</v>
      </c>
      <c r="C101" s="597">
        <f t="shared" si="3"/>
        <v>41256</v>
      </c>
      <c r="D101" s="597">
        <f t="shared" si="3"/>
        <v>46734</v>
      </c>
      <c r="E101" s="598" t="str">
        <f t="shared" si="3"/>
        <v>15 YR FIXED RATE DEBT: PAY 3.10000% HKD 300.0 M MAT: 13-DEC-2027</v>
      </c>
      <c r="F101" s="599" t="str">
        <f t="shared" si="3"/>
        <v>Fixed</v>
      </c>
      <c r="G101" s="600" t="str">
        <f t="shared" si="3"/>
        <v>Senior</v>
      </c>
      <c r="H101" s="599" t="str">
        <f t="shared" si="3"/>
        <v>N/A</v>
      </c>
      <c r="I101" s="601">
        <f t="shared" si="3"/>
        <v>3.1E-2</v>
      </c>
      <c r="J101" s="200"/>
      <c r="K101" s="201"/>
      <c r="L101" s="202"/>
      <c r="M101" s="468">
        <v>0.9</v>
      </c>
      <c r="N101" s="468">
        <v>0.90076915000000002</v>
      </c>
      <c r="O101" s="468">
        <v>0.90571843000000007</v>
      </c>
      <c r="P101" s="468">
        <v>0.90324378999999999</v>
      </c>
      <c r="Q101" s="468">
        <v>0.90324378999999999</v>
      </c>
      <c r="R101" s="468">
        <v>0.90324378999999999</v>
      </c>
      <c r="S101" s="468">
        <v>0.63598261</v>
      </c>
      <c r="T101" s="468">
        <v>0</v>
      </c>
      <c r="U101" s="468">
        <v>0</v>
      </c>
      <c r="V101" s="468">
        <v>0</v>
      </c>
    </row>
    <row r="102" spans="2:22" outlineLevel="1">
      <c r="B102" s="236" t="s">
        <v>481</v>
      </c>
      <c r="C102" s="597">
        <f t="shared" si="3"/>
        <v>41312</v>
      </c>
      <c r="D102" s="597">
        <f t="shared" si="3"/>
        <v>46790</v>
      </c>
      <c r="E102" s="598" t="str">
        <f t="shared" si="3"/>
        <v>15 YR FIXED RATE DEBT: PAY 3.25000% HKD 300.0 M MAT: 07-FEB-2028</v>
      </c>
      <c r="F102" s="599" t="str">
        <f t="shared" si="3"/>
        <v>Fixed</v>
      </c>
      <c r="G102" s="600" t="str">
        <f t="shared" si="3"/>
        <v>Senior</v>
      </c>
      <c r="H102" s="599" t="str">
        <f t="shared" si="3"/>
        <v>N/A</v>
      </c>
      <c r="I102" s="601">
        <f t="shared" si="3"/>
        <v>3.2500000000000001E-2</v>
      </c>
      <c r="J102" s="200"/>
      <c r="K102" s="201"/>
      <c r="L102" s="202"/>
      <c r="M102" s="468">
        <v>0.9</v>
      </c>
      <c r="N102" s="468">
        <v>0.94435475000000002</v>
      </c>
      <c r="O102" s="468">
        <v>0.94954351000000004</v>
      </c>
      <c r="P102" s="468">
        <v>0.94694913000000003</v>
      </c>
      <c r="Q102" s="468">
        <v>0.94694913000000003</v>
      </c>
      <c r="R102" s="468">
        <v>0.94694913000000003</v>
      </c>
      <c r="S102" s="468">
        <v>0.81204131000000002</v>
      </c>
      <c r="T102" s="468">
        <v>0</v>
      </c>
      <c r="U102" s="468">
        <v>0</v>
      </c>
      <c r="V102" s="468">
        <v>0</v>
      </c>
    </row>
    <row r="103" spans="2:22" outlineLevel="1">
      <c r="B103" s="236" t="s">
        <v>482</v>
      </c>
      <c r="C103" s="597">
        <f t="shared" si="3"/>
        <v>41303</v>
      </c>
      <c r="D103" s="597">
        <f t="shared" si="3"/>
        <v>45686</v>
      </c>
      <c r="E103" s="598" t="str">
        <f t="shared" si="3"/>
        <v>12 YR FIXED RATE DEBT: PAY 4.35000% NOK 1190.0 M MAT: 29-JAN-2025</v>
      </c>
      <c r="F103" s="599" t="str">
        <f t="shared" si="3"/>
        <v>Fixed</v>
      </c>
      <c r="G103" s="600" t="str">
        <f t="shared" si="3"/>
        <v>Senior</v>
      </c>
      <c r="H103" s="599" t="str">
        <f t="shared" si="3"/>
        <v>N/A</v>
      </c>
      <c r="I103" s="601">
        <f t="shared" si="3"/>
        <v>4.3499999999999997E-2</v>
      </c>
      <c r="J103" s="200"/>
      <c r="K103" s="201"/>
      <c r="L103" s="202"/>
      <c r="M103" s="468">
        <v>4.3</v>
      </c>
      <c r="N103" s="468">
        <v>4.4835088299999999</v>
      </c>
      <c r="O103" s="468">
        <v>4.4835088299999999</v>
      </c>
      <c r="P103" s="468">
        <v>3.7113489799999999</v>
      </c>
      <c r="Q103" s="468">
        <v>0</v>
      </c>
      <c r="R103" s="468">
        <v>0</v>
      </c>
      <c r="S103" s="468">
        <v>0</v>
      </c>
      <c r="T103" s="468">
        <v>0</v>
      </c>
      <c r="U103" s="468">
        <v>0</v>
      </c>
      <c r="V103" s="468">
        <v>0</v>
      </c>
    </row>
    <row r="104" spans="2:22" outlineLevel="1">
      <c r="B104" s="236" t="s">
        <v>483</v>
      </c>
      <c r="C104" s="597">
        <f t="shared" si="3"/>
        <v>37099</v>
      </c>
      <c r="D104" s="597">
        <f t="shared" si="3"/>
        <v>47691</v>
      </c>
      <c r="E104" s="598" t="str">
        <f t="shared" si="3"/>
        <v>29 YR FLOATING RATE DEBT: PAY 12M/1Y RPI 3.5890% REAL RATE GBP 40.0 M MAT: 27-JUL-2030</v>
      </c>
      <c r="F104" s="599" t="str">
        <f t="shared" si="3"/>
        <v>RPI</v>
      </c>
      <c r="G104" s="600" t="str">
        <f t="shared" si="3"/>
        <v>Senior</v>
      </c>
      <c r="H104" s="599" t="str">
        <f t="shared" si="3"/>
        <v>RPI 12 month</v>
      </c>
      <c r="I104" s="601">
        <f t="shared" si="3"/>
        <v>3.5889999999999998E-2</v>
      </c>
      <c r="J104" s="200"/>
      <c r="K104" s="201"/>
      <c r="L104" s="202"/>
      <c r="M104" s="468">
        <v>2.5</v>
      </c>
      <c r="N104" s="468">
        <v>2.7725824950437987</v>
      </c>
      <c r="O104" s="468">
        <v>2.8999247257617715</v>
      </c>
      <c r="P104" s="468">
        <v>2.9713063417139107</v>
      </c>
      <c r="Q104" s="468">
        <v>3.0478158719858595</v>
      </c>
      <c r="R104" s="468">
        <v>3.1392503481454361</v>
      </c>
      <c r="S104" s="468">
        <v>3.2334278585897986</v>
      </c>
      <c r="T104" s="468">
        <v>3.3304306943474926</v>
      </c>
      <c r="U104" s="468">
        <v>3.4303436151779176</v>
      </c>
      <c r="V104" s="468">
        <v>1.1391365108981533</v>
      </c>
    </row>
    <row r="105" spans="2:22" outlineLevel="1">
      <c r="B105" s="236" t="s">
        <v>484</v>
      </c>
      <c r="C105" s="597">
        <f t="shared" si="3"/>
        <v>37283</v>
      </c>
      <c r="D105" s="597">
        <f t="shared" si="3"/>
        <v>47691</v>
      </c>
      <c r="E105" s="598" t="str">
        <f t="shared" si="3"/>
        <v>28.5 YR FLOATING RATE DEBT: PAY 12M/1Y RPI 3.5890% REAL RATE GBP 30.0 M MAT: 27-JUL-2030</v>
      </c>
      <c r="F105" s="599" t="str">
        <f t="shared" si="3"/>
        <v>RPI</v>
      </c>
      <c r="G105" s="600" t="str">
        <f t="shared" si="3"/>
        <v>Senior</v>
      </c>
      <c r="H105" s="599" t="str">
        <f t="shared" si="3"/>
        <v>RPI 12 month</v>
      </c>
      <c r="I105" s="601">
        <f t="shared" si="3"/>
        <v>3.5889999999999998E-2</v>
      </c>
      <c r="J105" s="200"/>
      <c r="K105" s="201"/>
      <c r="L105" s="202"/>
      <c r="M105" s="468">
        <v>1.9</v>
      </c>
      <c r="N105" s="468">
        <v>2.1071626962332872</v>
      </c>
      <c r="O105" s="468">
        <v>2.2039427915789465</v>
      </c>
      <c r="P105" s="468">
        <v>2.2581928197025722</v>
      </c>
      <c r="Q105" s="468">
        <v>2.3163400627092532</v>
      </c>
      <c r="R105" s="468">
        <v>2.3858302645905312</v>
      </c>
      <c r="S105" s="468">
        <v>2.4574051725282464</v>
      </c>
      <c r="T105" s="468">
        <v>2.5311273277040938</v>
      </c>
      <c r="U105" s="468">
        <v>2.6070611475352168</v>
      </c>
      <c r="V105" s="468">
        <v>0.86574374828259626</v>
      </c>
    </row>
    <row r="106" spans="2:22" outlineLevel="1">
      <c r="B106" s="236" t="s">
        <v>485</v>
      </c>
      <c r="C106" s="597">
        <f t="shared" si="3"/>
        <v>37445</v>
      </c>
      <c r="D106" s="597">
        <f t="shared" si="3"/>
        <v>48403</v>
      </c>
      <c r="E106" s="598" t="str">
        <f t="shared" si="3"/>
        <v>30 YR FLOATING RATE DEBT: PAY 12M/1Y RPI 2.8170% REAL RATE GBP 50.0 M MAT: 08-JUL-2032</v>
      </c>
      <c r="F106" s="599" t="str">
        <f t="shared" si="3"/>
        <v>RPI</v>
      </c>
      <c r="G106" s="600" t="str">
        <f t="shared" si="3"/>
        <v>Senior</v>
      </c>
      <c r="H106" s="599" t="str">
        <f t="shared" si="3"/>
        <v>RPI 12 month</v>
      </c>
      <c r="I106" s="601">
        <f t="shared" si="3"/>
        <v>2.8170000000000001E-2</v>
      </c>
      <c r="J106" s="200"/>
      <c r="K106" s="201"/>
      <c r="L106" s="202"/>
      <c r="M106" s="468">
        <v>2.4</v>
      </c>
      <c r="N106" s="468">
        <v>2.6616791952420469</v>
      </c>
      <c r="O106" s="468">
        <v>2.7839277367313011</v>
      </c>
      <c r="P106" s="468">
        <v>2.8524540880453548</v>
      </c>
      <c r="Q106" s="468">
        <v>2.9259032371064255</v>
      </c>
      <c r="R106" s="468">
        <v>3.013680334219619</v>
      </c>
      <c r="S106" s="468">
        <v>3.1040907442462071</v>
      </c>
      <c r="T106" s="468">
        <v>3.1972134665735936</v>
      </c>
      <c r="U106" s="468">
        <v>3.2931298705708016</v>
      </c>
      <c r="V106" s="468">
        <v>3.3919237666879258</v>
      </c>
    </row>
    <row r="107" spans="2:22" outlineLevel="1">
      <c r="B107" s="236" t="s">
        <v>486</v>
      </c>
      <c r="C107" s="597">
        <f t="shared" si="3"/>
        <v>38531</v>
      </c>
      <c r="D107" s="597">
        <f t="shared" si="3"/>
        <v>49488</v>
      </c>
      <c r="E107" s="598" t="str">
        <f t="shared" si="3"/>
        <v>30 YR FLOATING RATE DEBT: PAY 12M/1Y RPI 2.2280% REAL RATE GBP 50.0 M MAT: 28-JUN-2035</v>
      </c>
      <c r="F107" s="599" t="str">
        <f t="shared" si="3"/>
        <v>RPI</v>
      </c>
      <c r="G107" s="600" t="str">
        <f t="shared" si="3"/>
        <v>Senior</v>
      </c>
      <c r="H107" s="599" t="str">
        <f t="shared" si="3"/>
        <v>RPI 12 month</v>
      </c>
      <c r="I107" s="601">
        <f t="shared" si="3"/>
        <v>2.2280000000000001E-2</v>
      </c>
      <c r="J107" s="200"/>
      <c r="K107" s="201"/>
      <c r="L107" s="202"/>
      <c r="M107" s="468">
        <v>1.8</v>
      </c>
      <c r="N107" s="468">
        <v>1.9962593964315352</v>
      </c>
      <c r="O107" s="468">
        <v>2.0879458025484756</v>
      </c>
      <c r="P107" s="468">
        <v>2.1393405660340159</v>
      </c>
      <c r="Q107" s="468">
        <v>2.1944274278298188</v>
      </c>
      <c r="R107" s="468">
        <v>2.260260250664714</v>
      </c>
      <c r="S107" s="468">
        <v>2.3280680581846549</v>
      </c>
      <c r="T107" s="468">
        <v>2.3979100999301948</v>
      </c>
      <c r="U107" s="468">
        <v>2.4698474029281008</v>
      </c>
      <c r="V107" s="468">
        <v>2.5439428250159439</v>
      </c>
    </row>
    <row r="108" spans="2:22" outlineLevel="1">
      <c r="B108" s="236" t="s">
        <v>487</v>
      </c>
      <c r="C108" s="597">
        <f t="shared" si="3"/>
        <v>38595</v>
      </c>
      <c r="D108" s="597">
        <f t="shared" si="3"/>
        <v>49549</v>
      </c>
      <c r="E108" s="598" t="str">
        <f t="shared" si="3"/>
        <v>30.0 YR FLOATING RATE DEBT: PAY 12M/1Y RPI 2.0752% REAL RATE GBP 25.0 M MAT: 28-AUG-2035</v>
      </c>
      <c r="F108" s="599" t="str">
        <f t="shared" si="3"/>
        <v>RPI</v>
      </c>
      <c r="G108" s="600" t="str">
        <f t="shared" si="3"/>
        <v>Senior</v>
      </c>
      <c r="H108" s="599" t="str">
        <f t="shared" si="3"/>
        <v>RPI 12 month</v>
      </c>
      <c r="I108" s="601">
        <f t="shared" si="3"/>
        <v>2.0752E-2</v>
      </c>
      <c r="J108" s="200"/>
      <c r="K108" s="201"/>
      <c r="L108" s="202"/>
      <c r="M108" s="468">
        <v>0.8</v>
      </c>
      <c r="N108" s="468">
        <v>0.88722639841401563</v>
      </c>
      <c r="O108" s="468">
        <v>0.92797591224376696</v>
      </c>
      <c r="P108" s="468">
        <v>0.9508180293484515</v>
      </c>
      <c r="Q108" s="468">
        <v>0.97530107903547503</v>
      </c>
      <c r="R108" s="468">
        <v>1.0045601114065394</v>
      </c>
      <c r="S108" s="468">
        <v>1.0346969147487355</v>
      </c>
      <c r="T108" s="468">
        <v>1.0657378221911975</v>
      </c>
      <c r="U108" s="468">
        <v>1.0977099568569335</v>
      </c>
      <c r="V108" s="468">
        <v>1.1306412555626415</v>
      </c>
    </row>
    <row r="109" spans="2:22" outlineLevel="1">
      <c r="B109" s="236" t="s">
        <v>488</v>
      </c>
      <c r="C109" s="597">
        <f t="shared" ref="C109:I118" si="4">C37</f>
        <v>38623</v>
      </c>
      <c r="D109" s="597">
        <f t="shared" si="4"/>
        <v>49580</v>
      </c>
      <c r="E109" s="598" t="str">
        <f t="shared" si="4"/>
        <v>30 YR FLOATING RATE DEBT: PAY 12M/1Y RPI 2.0353% REAL RATE GBP 75.0 M MAT: 28-SEP-2035</v>
      </c>
      <c r="F109" s="599" t="str">
        <f t="shared" si="4"/>
        <v>RPI</v>
      </c>
      <c r="G109" s="600" t="str">
        <f t="shared" si="4"/>
        <v>Senior</v>
      </c>
      <c r="H109" s="599" t="str">
        <f t="shared" si="4"/>
        <v>RPI 12 month</v>
      </c>
      <c r="I109" s="601">
        <f t="shared" si="4"/>
        <v>2.0353E-2</v>
      </c>
      <c r="J109" s="200"/>
      <c r="K109" s="201"/>
      <c r="L109" s="202"/>
      <c r="M109" s="468">
        <v>2.4</v>
      </c>
      <c r="N109" s="468">
        <v>2.6616791952420469</v>
      </c>
      <c r="O109" s="468">
        <v>2.7839277367313011</v>
      </c>
      <c r="P109" s="468">
        <v>2.8524540880453548</v>
      </c>
      <c r="Q109" s="468">
        <v>2.9259032371064255</v>
      </c>
      <c r="R109" s="468">
        <v>3.013680334219619</v>
      </c>
      <c r="S109" s="468">
        <v>3.1040907442462071</v>
      </c>
      <c r="T109" s="468">
        <v>3.1972134665735936</v>
      </c>
      <c r="U109" s="468">
        <v>3.2931298705708016</v>
      </c>
      <c r="V109" s="468">
        <v>3.3919237666879258</v>
      </c>
    </row>
    <row r="110" spans="2:22" outlineLevel="1">
      <c r="B110" s="236" t="s">
        <v>489</v>
      </c>
      <c r="C110" s="597">
        <f t="shared" si="4"/>
        <v>38642</v>
      </c>
      <c r="D110" s="597">
        <f t="shared" si="4"/>
        <v>49599</v>
      </c>
      <c r="E110" s="598" t="str">
        <f t="shared" si="4"/>
        <v>30 YR FLOATING RATE DEBT: PAY 12M/1Y RPI 1.9949% REAL RATE GBP 25.0 M MAT: 17-OCT-2035</v>
      </c>
      <c r="F110" s="599" t="str">
        <f t="shared" si="4"/>
        <v>RPI</v>
      </c>
      <c r="G110" s="600" t="str">
        <f t="shared" si="4"/>
        <v>Senior</v>
      </c>
      <c r="H110" s="599" t="str">
        <f t="shared" si="4"/>
        <v>RPI 12 month</v>
      </c>
      <c r="I110" s="601">
        <f t="shared" si="4"/>
        <v>1.9949000000000001E-2</v>
      </c>
      <c r="J110" s="200"/>
      <c r="K110" s="201"/>
      <c r="L110" s="202"/>
      <c r="M110" s="468">
        <v>0.8</v>
      </c>
      <c r="N110" s="468">
        <v>0.88722639841401563</v>
      </c>
      <c r="O110" s="468">
        <v>0.92797591224376696</v>
      </c>
      <c r="P110" s="468">
        <v>0.9508180293484515</v>
      </c>
      <c r="Q110" s="468">
        <v>0.97530107903547503</v>
      </c>
      <c r="R110" s="468">
        <v>1.0045601114065394</v>
      </c>
      <c r="S110" s="468">
        <v>1.0346969147487355</v>
      </c>
      <c r="T110" s="468">
        <v>1.0657378221911975</v>
      </c>
      <c r="U110" s="468">
        <v>1.0977099568569335</v>
      </c>
      <c r="V110" s="468">
        <v>1.1306412555626415</v>
      </c>
    </row>
    <row r="111" spans="2:22" outlineLevel="1">
      <c r="B111" s="236" t="s">
        <v>490</v>
      </c>
      <c r="C111" s="597">
        <f t="shared" si="4"/>
        <v>38679</v>
      </c>
      <c r="D111" s="597">
        <f t="shared" si="4"/>
        <v>49636</v>
      </c>
      <c r="E111" s="598" t="str">
        <f t="shared" si="4"/>
        <v>30 YR FLOATING RATE DEBT: PAY 12M/1Y RPI 1.8204% REAL RATE GBP 50.0 M MAT: 23-NOV-2035</v>
      </c>
      <c r="F111" s="599" t="str">
        <f t="shared" si="4"/>
        <v>RPI</v>
      </c>
      <c r="G111" s="600" t="str">
        <f t="shared" si="4"/>
        <v>Senior</v>
      </c>
      <c r="H111" s="599" t="str">
        <f t="shared" si="4"/>
        <v>RPI 12 month</v>
      </c>
      <c r="I111" s="601">
        <f t="shared" si="4"/>
        <v>1.8204000000000001E-2</v>
      </c>
      <c r="J111" s="200"/>
      <c r="K111" s="201"/>
      <c r="L111" s="202"/>
      <c r="M111" s="468">
        <v>1.4</v>
      </c>
      <c r="N111" s="468">
        <v>1.5526461972245273</v>
      </c>
      <c r="O111" s="468">
        <v>1.6239578464265922</v>
      </c>
      <c r="P111" s="468">
        <v>1.6639315513597901</v>
      </c>
      <c r="Q111" s="468">
        <v>1.7067768883120813</v>
      </c>
      <c r="R111" s="468">
        <v>1.7579801949614442</v>
      </c>
      <c r="S111" s="468">
        <v>1.8107196008102873</v>
      </c>
      <c r="T111" s="468">
        <v>1.8650411888345959</v>
      </c>
      <c r="U111" s="468">
        <v>1.9209924244996339</v>
      </c>
      <c r="V111" s="468">
        <v>1.978622197234623</v>
      </c>
    </row>
    <row r="112" spans="2:22" outlineLevel="1">
      <c r="B112" s="236" t="s">
        <v>491</v>
      </c>
      <c r="C112" s="597">
        <f t="shared" si="4"/>
        <v>38810</v>
      </c>
      <c r="D112" s="597">
        <f t="shared" si="4"/>
        <v>49768</v>
      </c>
      <c r="E112" s="598" t="str">
        <f t="shared" si="4"/>
        <v>30 YR FLOATING RATE DEBT: PAY 12M/1Y RPI 1.6449% REAL RATE GBP 200.0 M MAT: 03-APR-2036</v>
      </c>
      <c r="F112" s="599" t="str">
        <f t="shared" si="4"/>
        <v>RPI</v>
      </c>
      <c r="G112" s="600" t="str">
        <f t="shared" si="4"/>
        <v>Senior</v>
      </c>
      <c r="H112" s="599" t="str">
        <f t="shared" si="4"/>
        <v>RPI 12 month</v>
      </c>
      <c r="I112" s="601">
        <f t="shared" si="4"/>
        <v>1.6448999999999998E-2</v>
      </c>
      <c r="J112" s="200"/>
      <c r="K112" s="201"/>
      <c r="L112" s="202"/>
      <c r="M112" s="468">
        <v>5</v>
      </c>
      <c r="N112" s="468">
        <v>5.5451649900875974</v>
      </c>
      <c r="O112" s="468">
        <v>5.799849451523543</v>
      </c>
      <c r="P112" s="468">
        <v>5.9426126834278215</v>
      </c>
      <c r="Q112" s="468">
        <v>6.0956317439717189</v>
      </c>
      <c r="R112" s="468">
        <v>6.2785006962908723</v>
      </c>
      <c r="S112" s="468">
        <v>6.4668557171795973</v>
      </c>
      <c r="T112" s="468">
        <v>6.6608613886949852</v>
      </c>
      <c r="U112" s="468">
        <v>6.8606872303558353</v>
      </c>
      <c r="V112" s="468">
        <v>7.0665078472665108</v>
      </c>
    </row>
    <row r="113" spans="2:22" outlineLevel="1">
      <c r="B113" s="236" t="s">
        <v>492</v>
      </c>
      <c r="C113" s="597">
        <f t="shared" si="4"/>
        <v>38814</v>
      </c>
      <c r="D113" s="597">
        <f t="shared" si="4"/>
        <v>49772</v>
      </c>
      <c r="E113" s="598" t="str">
        <f t="shared" si="4"/>
        <v>30 YR FLOATING RATE DEBT: PAY 12M/1Y RPI 1.6747% REAL RATE GBP 50.0 M MAT: 07-APR-2036</v>
      </c>
      <c r="F113" s="599" t="str">
        <f t="shared" si="4"/>
        <v>RPI</v>
      </c>
      <c r="G113" s="600" t="str">
        <f t="shared" si="4"/>
        <v>Senior</v>
      </c>
      <c r="H113" s="599" t="str">
        <f t="shared" si="4"/>
        <v>RPI 12 month</v>
      </c>
      <c r="I113" s="601">
        <f t="shared" si="4"/>
        <v>1.6747000000000001E-2</v>
      </c>
      <c r="J113" s="200"/>
      <c r="K113" s="201"/>
      <c r="L113" s="202"/>
      <c r="M113" s="468">
        <v>1.3</v>
      </c>
      <c r="N113" s="468">
        <v>1.4417428974227755</v>
      </c>
      <c r="O113" s="468">
        <v>1.5079608573961214</v>
      </c>
      <c r="P113" s="468">
        <v>1.5450792976912338</v>
      </c>
      <c r="Q113" s="468">
        <v>1.5848642534326471</v>
      </c>
      <c r="R113" s="468">
        <v>1.6324101810356269</v>
      </c>
      <c r="S113" s="468">
        <v>1.6813824864666953</v>
      </c>
      <c r="T113" s="468">
        <v>1.7318239610606962</v>
      </c>
      <c r="U113" s="468">
        <v>1.7837786798925173</v>
      </c>
      <c r="V113" s="468">
        <v>1.8372920402892927</v>
      </c>
    </row>
    <row r="114" spans="2:22" outlineLevel="1">
      <c r="B114" s="236" t="s">
        <v>493</v>
      </c>
      <c r="C114" s="597">
        <f t="shared" si="4"/>
        <v>38848</v>
      </c>
      <c r="D114" s="597">
        <f t="shared" si="4"/>
        <v>57111</v>
      </c>
      <c r="E114" s="598" t="str">
        <f t="shared" si="4"/>
        <v>50 YR FLOATING RATE DEBT: PAY 12M/1Y RPI 1.8190% REAL RATE GBP 50.0 M MAT: 11-MAY-2056</v>
      </c>
      <c r="F114" s="599" t="str">
        <f t="shared" si="4"/>
        <v>RPI</v>
      </c>
      <c r="G114" s="600" t="str">
        <f t="shared" si="4"/>
        <v>Senior</v>
      </c>
      <c r="H114" s="599" t="str">
        <f t="shared" si="4"/>
        <v>RPI 12 month</v>
      </c>
      <c r="I114" s="601">
        <f t="shared" si="4"/>
        <v>1.8190000000000001E-2</v>
      </c>
      <c r="J114" s="200"/>
      <c r="K114" s="201"/>
      <c r="L114" s="202"/>
      <c r="M114" s="468">
        <v>1.4</v>
      </c>
      <c r="N114" s="468">
        <v>1.5526461972245273</v>
      </c>
      <c r="O114" s="468">
        <v>1.6239578464265922</v>
      </c>
      <c r="P114" s="468">
        <v>1.6639315513597901</v>
      </c>
      <c r="Q114" s="468">
        <v>1.7067768883120813</v>
      </c>
      <c r="R114" s="468">
        <v>1.7579801949614442</v>
      </c>
      <c r="S114" s="468">
        <v>1.8107196008102873</v>
      </c>
      <c r="T114" s="468">
        <v>1.8650411888345959</v>
      </c>
      <c r="U114" s="468">
        <v>1.9209924244996339</v>
      </c>
      <c r="V114" s="468">
        <v>1.978622197234623</v>
      </c>
    </row>
    <row r="115" spans="2:22" outlineLevel="1">
      <c r="B115" s="236" t="s">
        <v>494</v>
      </c>
      <c r="C115" s="597">
        <f t="shared" si="4"/>
        <v>38863</v>
      </c>
      <c r="D115" s="597">
        <f t="shared" si="4"/>
        <v>57126</v>
      </c>
      <c r="E115" s="598" t="str">
        <f t="shared" si="4"/>
        <v>50 YR FLOATING RATE DEBT: PAY 12M/1Y RPI 1.8230% REAL RATE GBP 150.0 M MAT: 26-MAY-2056</v>
      </c>
      <c r="F115" s="599" t="str">
        <f t="shared" si="4"/>
        <v>RPI</v>
      </c>
      <c r="G115" s="600" t="str">
        <f t="shared" si="4"/>
        <v>Senior</v>
      </c>
      <c r="H115" s="599" t="str">
        <f t="shared" si="4"/>
        <v>RPI 12 month</v>
      </c>
      <c r="I115" s="601">
        <f t="shared" si="4"/>
        <v>1.823E-2</v>
      </c>
      <c r="J115" s="200"/>
      <c r="K115" s="201"/>
      <c r="L115" s="202"/>
      <c r="M115" s="468">
        <v>4.2</v>
      </c>
      <c r="N115" s="468">
        <v>4.6579385916735818</v>
      </c>
      <c r="O115" s="468">
        <v>4.8718735392797763</v>
      </c>
      <c r="P115" s="468">
        <v>4.9917946540793698</v>
      </c>
      <c r="Q115" s="468">
        <v>5.1203306649362439</v>
      </c>
      <c r="R115" s="468">
        <v>5.2739405848843326</v>
      </c>
      <c r="S115" s="468">
        <v>5.4321588024308616</v>
      </c>
      <c r="T115" s="468">
        <v>5.5951235665037879</v>
      </c>
      <c r="U115" s="468">
        <v>5.762977273498902</v>
      </c>
      <c r="V115" s="468">
        <v>5.9358665917038689</v>
      </c>
    </row>
    <row r="116" spans="2:22" outlineLevel="1">
      <c r="B116" s="236" t="s">
        <v>495</v>
      </c>
      <c r="C116" s="597">
        <f t="shared" si="4"/>
        <v>38912</v>
      </c>
      <c r="D116" s="597">
        <f t="shared" si="4"/>
        <v>57175</v>
      </c>
      <c r="E116" s="598" t="str">
        <f t="shared" si="4"/>
        <v>50 YR FLOATING RATE DEBT: PAY 12M/1Y RPI 1.7970% REAL RATE GBP 50.0 M MAT: 14-JUL-2056</v>
      </c>
      <c r="F116" s="599" t="str">
        <f t="shared" si="4"/>
        <v>RPI</v>
      </c>
      <c r="G116" s="600" t="str">
        <f t="shared" si="4"/>
        <v>Senior</v>
      </c>
      <c r="H116" s="599" t="str">
        <f t="shared" si="4"/>
        <v>RPI 12 month</v>
      </c>
      <c r="I116" s="601">
        <f t="shared" si="4"/>
        <v>1.797E-2</v>
      </c>
      <c r="J116" s="200"/>
      <c r="K116" s="201"/>
      <c r="L116" s="202"/>
      <c r="M116" s="468">
        <v>1.4</v>
      </c>
      <c r="N116" s="468">
        <v>1.5526461972245273</v>
      </c>
      <c r="O116" s="468">
        <v>1.6239578464265922</v>
      </c>
      <c r="P116" s="468">
        <v>1.6639315513597901</v>
      </c>
      <c r="Q116" s="468">
        <v>1.7067768883120813</v>
      </c>
      <c r="R116" s="468">
        <v>1.7579801949614442</v>
      </c>
      <c r="S116" s="468">
        <v>1.8107196008102873</v>
      </c>
      <c r="T116" s="468">
        <v>1.8650411888345959</v>
      </c>
      <c r="U116" s="468">
        <v>1.9209924244996339</v>
      </c>
      <c r="V116" s="468">
        <v>1.978622197234623</v>
      </c>
    </row>
    <row r="117" spans="2:22" outlineLevel="1">
      <c r="B117" s="236" t="s">
        <v>496</v>
      </c>
      <c r="C117" s="597">
        <f t="shared" si="4"/>
        <v>38926</v>
      </c>
      <c r="D117" s="597">
        <f t="shared" si="4"/>
        <v>57189</v>
      </c>
      <c r="E117" s="598" t="str">
        <f t="shared" si="4"/>
        <v>50 YR FLOATING RATE DEBT: PAY 12M/1Y RPI 1.6574% REAL RATE GBP 50.0 M MAT: 28-JUL-2056</v>
      </c>
      <c r="F117" s="599" t="str">
        <f t="shared" si="4"/>
        <v>RPI</v>
      </c>
      <c r="G117" s="600" t="str">
        <f t="shared" si="4"/>
        <v>Senior</v>
      </c>
      <c r="H117" s="599" t="str">
        <f t="shared" si="4"/>
        <v>RPI 12 month</v>
      </c>
      <c r="I117" s="601">
        <f t="shared" si="4"/>
        <v>1.6573999999999998E-2</v>
      </c>
      <c r="J117" s="200"/>
      <c r="K117" s="201"/>
      <c r="L117" s="202"/>
      <c r="M117" s="468">
        <v>1.3</v>
      </c>
      <c r="N117" s="468">
        <v>1.4417428974227755</v>
      </c>
      <c r="O117" s="468">
        <v>1.5079608573961214</v>
      </c>
      <c r="P117" s="468">
        <v>1.5450792976912338</v>
      </c>
      <c r="Q117" s="468">
        <v>1.5848642534326471</v>
      </c>
      <c r="R117" s="468">
        <v>1.6324101810356269</v>
      </c>
      <c r="S117" s="468">
        <v>1.6813824864666953</v>
      </c>
      <c r="T117" s="468">
        <v>1.7318239610606962</v>
      </c>
      <c r="U117" s="468">
        <v>1.7837786798925173</v>
      </c>
      <c r="V117" s="468">
        <v>1.8372920402892927</v>
      </c>
    </row>
    <row r="118" spans="2:22" outlineLevel="1">
      <c r="B118" s="236" t="s">
        <v>497</v>
      </c>
      <c r="C118" s="597">
        <f t="shared" si="4"/>
        <v>38926</v>
      </c>
      <c r="D118" s="597">
        <f t="shared" si="4"/>
        <v>57189</v>
      </c>
      <c r="E118" s="598" t="str">
        <f t="shared" si="4"/>
        <v>50 YR FLOATING RATE DEBT: PAY 12M/1Y RPI 1.5842% REAL RATE GBP 25.0 M MAT: 28-JUL-2056</v>
      </c>
      <c r="F118" s="599" t="str">
        <f t="shared" si="4"/>
        <v>RPI</v>
      </c>
      <c r="G118" s="600" t="str">
        <f t="shared" si="4"/>
        <v>Senior</v>
      </c>
      <c r="H118" s="599" t="str">
        <f t="shared" si="4"/>
        <v>RPI 12 month</v>
      </c>
      <c r="I118" s="601">
        <f t="shared" si="4"/>
        <v>1.5841999999999998E-2</v>
      </c>
      <c r="J118" s="200"/>
      <c r="K118" s="201"/>
      <c r="L118" s="202"/>
      <c r="M118" s="468">
        <v>0.6</v>
      </c>
      <c r="N118" s="468">
        <v>0.66541979881051172</v>
      </c>
      <c r="O118" s="468">
        <v>0.69598193418282528</v>
      </c>
      <c r="P118" s="468">
        <v>0.71311352201133871</v>
      </c>
      <c r="Q118" s="468">
        <v>0.73147580927660638</v>
      </c>
      <c r="R118" s="468">
        <v>0.75342008355490475</v>
      </c>
      <c r="S118" s="468">
        <v>0.77602268606155178</v>
      </c>
      <c r="T118" s="468">
        <v>0.79930336664339841</v>
      </c>
      <c r="U118" s="468">
        <v>0.82328246764270041</v>
      </c>
      <c r="V118" s="468">
        <v>0.84798094167198146</v>
      </c>
    </row>
    <row r="119" spans="2:22" outlineLevel="1">
      <c r="B119" s="236" t="s">
        <v>498</v>
      </c>
      <c r="C119" s="597">
        <f t="shared" ref="C119:I128" si="5">C47</f>
        <v>39177</v>
      </c>
      <c r="D119" s="597">
        <f t="shared" si="5"/>
        <v>50796</v>
      </c>
      <c r="E119" s="598" t="str">
        <f t="shared" si="5"/>
        <v>31.8 YR FLOATING RATE DEBT: PAY 12M/1Y RPI 1.8055% REAL RATE GBP 50.0 M MAT: 26-JAN-2039</v>
      </c>
      <c r="F119" s="599" t="str">
        <f t="shared" si="5"/>
        <v>RPI</v>
      </c>
      <c r="G119" s="600" t="str">
        <f t="shared" si="5"/>
        <v>Senior</v>
      </c>
      <c r="H119" s="599" t="str">
        <f t="shared" si="5"/>
        <v>RPI 12 month</v>
      </c>
      <c r="I119" s="601">
        <f t="shared" si="5"/>
        <v>1.8055000000000002E-2</v>
      </c>
      <c r="J119" s="200"/>
      <c r="K119" s="201"/>
      <c r="L119" s="202"/>
      <c r="M119" s="468">
        <v>1.3</v>
      </c>
      <c r="N119" s="468">
        <v>1.4417428974227755</v>
      </c>
      <c r="O119" s="468">
        <v>1.5079608573961214</v>
      </c>
      <c r="P119" s="468">
        <v>1.5450792976912338</v>
      </c>
      <c r="Q119" s="468">
        <v>1.5848642534326471</v>
      </c>
      <c r="R119" s="468">
        <v>1.6324101810356269</v>
      </c>
      <c r="S119" s="468">
        <v>1.6813824864666953</v>
      </c>
      <c r="T119" s="468">
        <v>1.7318239610606962</v>
      </c>
      <c r="U119" s="468">
        <v>1.7837786798925173</v>
      </c>
      <c r="V119" s="468">
        <v>1.8372920402892927</v>
      </c>
    </row>
    <row r="120" spans="2:22" outlineLevel="1">
      <c r="B120" s="236" t="s">
        <v>499</v>
      </c>
      <c r="C120" s="597">
        <f t="shared" si="5"/>
        <v>39182</v>
      </c>
      <c r="D120" s="597">
        <f t="shared" si="5"/>
        <v>50892</v>
      </c>
      <c r="E120" s="598" t="str">
        <f t="shared" si="5"/>
        <v>32.1 YR FLOATING RATE DEBT: PAY 12M/1Y RPI 1.8575% REAL RATE GBP 150.0 M MAT: 02-MAY-2039</v>
      </c>
      <c r="F120" s="599" t="str">
        <f t="shared" si="5"/>
        <v>RPI</v>
      </c>
      <c r="G120" s="600" t="str">
        <f t="shared" si="5"/>
        <v>Senior</v>
      </c>
      <c r="H120" s="599" t="str">
        <f t="shared" si="5"/>
        <v>RPI 12 month</v>
      </c>
      <c r="I120" s="601">
        <f t="shared" si="5"/>
        <v>1.8575000000000001E-2</v>
      </c>
      <c r="J120" s="200"/>
      <c r="K120" s="201"/>
      <c r="L120" s="202"/>
      <c r="M120" s="468">
        <v>4.0999999999999996</v>
      </c>
      <c r="N120" s="468">
        <v>4.54703529187183</v>
      </c>
      <c r="O120" s="468">
        <v>4.7558765502493054</v>
      </c>
      <c r="P120" s="468">
        <v>4.8729424004108139</v>
      </c>
      <c r="Q120" s="468">
        <v>4.9984180300568095</v>
      </c>
      <c r="R120" s="468">
        <v>5.148370570958515</v>
      </c>
      <c r="S120" s="468">
        <v>5.3028216880872696</v>
      </c>
      <c r="T120" s="468">
        <v>5.4619063387298876</v>
      </c>
      <c r="U120" s="468">
        <v>5.6257635288917847</v>
      </c>
      <c r="V120" s="468">
        <v>5.7945364347585384</v>
      </c>
    </row>
    <row r="121" spans="2:22" outlineLevel="1">
      <c r="B121" s="236" t="s">
        <v>500</v>
      </c>
      <c r="C121" s="597">
        <f t="shared" si="5"/>
        <v>39805</v>
      </c>
      <c r="D121" s="597">
        <f t="shared" si="5"/>
        <v>58067</v>
      </c>
      <c r="E121" s="598" t="str">
        <f t="shared" si="5"/>
        <v>50 YR FLOATING RATE DEBT: PAY 12M/1Y RPI 3.6120% REAL RATE GBP 8.9 M MAT: 23-DEC-2058</v>
      </c>
      <c r="F121" s="599" t="str">
        <f t="shared" si="5"/>
        <v>RPI</v>
      </c>
      <c r="G121" s="600" t="str">
        <f t="shared" si="5"/>
        <v>Senior</v>
      </c>
      <c r="H121" s="599" t="str">
        <f t="shared" si="5"/>
        <v>RPI 12 month</v>
      </c>
      <c r="I121" s="601">
        <f t="shared" si="5"/>
        <v>3.6119999999999999E-2</v>
      </c>
      <c r="J121" s="200"/>
      <c r="K121" s="201"/>
      <c r="L121" s="202"/>
      <c r="M121" s="468">
        <v>0.5</v>
      </c>
      <c r="N121" s="468">
        <v>0.55451649900875977</v>
      </c>
      <c r="O121" s="468">
        <v>0.57998494515235433</v>
      </c>
      <c r="P121" s="468">
        <v>0.59426126834278215</v>
      </c>
      <c r="Q121" s="468">
        <v>0.60956317439717189</v>
      </c>
      <c r="R121" s="468">
        <v>0.62785006962908718</v>
      </c>
      <c r="S121" s="468">
        <v>0.64668557171795971</v>
      </c>
      <c r="T121" s="468">
        <v>0.66608613886949852</v>
      </c>
      <c r="U121" s="468">
        <v>0.68606872303558353</v>
      </c>
      <c r="V121" s="468">
        <v>0.7066507847266511</v>
      </c>
    </row>
    <row r="122" spans="2:22" outlineLevel="1">
      <c r="B122" s="236" t="s">
        <v>501</v>
      </c>
      <c r="C122" s="597">
        <f t="shared" si="5"/>
        <v>40030</v>
      </c>
      <c r="D122" s="597">
        <f t="shared" si="5"/>
        <v>50987</v>
      </c>
      <c r="E122" s="598" t="str">
        <f t="shared" si="5"/>
        <v>30 YR FLOATING RATE DEBT: PAY 12M/1Y RPI 2.4860% REAL RATE GBP 25.0 M MAT: 05-AUG-2039</v>
      </c>
      <c r="F122" s="599" t="str">
        <f t="shared" si="5"/>
        <v>RPI</v>
      </c>
      <c r="G122" s="600" t="str">
        <f t="shared" si="5"/>
        <v>Senior</v>
      </c>
      <c r="H122" s="599" t="str">
        <f t="shared" si="5"/>
        <v>RPI 12 month</v>
      </c>
      <c r="I122" s="601">
        <f t="shared" si="5"/>
        <v>2.486E-2</v>
      </c>
      <c r="J122" s="200"/>
      <c r="K122" s="201"/>
      <c r="L122" s="202"/>
      <c r="M122" s="468">
        <v>0.9</v>
      </c>
      <c r="N122" s="468">
        <v>0.99812969821576758</v>
      </c>
      <c r="O122" s="468">
        <v>1.0439729012742378</v>
      </c>
      <c r="P122" s="468">
        <v>1.069670283017008</v>
      </c>
      <c r="Q122" s="468">
        <v>1.0972137139149094</v>
      </c>
      <c r="R122" s="468">
        <v>1.130130125332357</v>
      </c>
      <c r="S122" s="468">
        <v>1.1640340290923274</v>
      </c>
      <c r="T122" s="468">
        <v>1.1989550499650974</v>
      </c>
      <c r="U122" s="468">
        <v>1.2349237014640504</v>
      </c>
      <c r="V122" s="468">
        <v>1.271971412507972</v>
      </c>
    </row>
    <row r="123" spans="2:22" outlineLevel="1">
      <c r="B123" s="236" t="s">
        <v>502</v>
      </c>
      <c r="C123" s="597">
        <f t="shared" si="5"/>
        <v>41310</v>
      </c>
      <c r="D123" s="597">
        <f t="shared" si="5"/>
        <v>50076</v>
      </c>
      <c r="E123" s="598" t="str">
        <f t="shared" si="5"/>
        <v>24 YR FLOATING RATE DEBT: PAY 12M/1Y RPI 1.3740% REAL RATE GBP 30.0 M MAT: 05-FEB-2037</v>
      </c>
      <c r="F123" s="599" t="str">
        <f t="shared" si="5"/>
        <v>RPI</v>
      </c>
      <c r="G123" s="600" t="str">
        <f t="shared" si="5"/>
        <v>Senior</v>
      </c>
      <c r="H123" s="599" t="str">
        <f t="shared" si="5"/>
        <v>RPI 12 month</v>
      </c>
      <c r="I123" s="601">
        <f t="shared" si="5"/>
        <v>1.374E-2</v>
      </c>
      <c r="J123" s="200"/>
      <c r="K123" s="201"/>
      <c r="L123" s="202"/>
      <c r="M123" s="468">
        <v>0.5</v>
      </c>
      <c r="N123" s="468">
        <v>0.55451649900875977</v>
      </c>
      <c r="O123" s="468">
        <v>0.57998494515235433</v>
      </c>
      <c r="P123" s="468">
        <v>0.59426126834278215</v>
      </c>
      <c r="Q123" s="468">
        <v>0.60956317439717189</v>
      </c>
      <c r="R123" s="468">
        <v>0.62785006962908718</v>
      </c>
      <c r="S123" s="468">
        <v>0.64668557171795971</v>
      </c>
      <c r="T123" s="468">
        <v>0.66608613886949852</v>
      </c>
      <c r="U123" s="468">
        <v>0.68606872303558353</v>
      </c>
      <c r="V123" s="468">
        <v>0.7066507847266511</v>
      </c>
    </row>
    <row r="124" spans="2:22" outlineLevel="1">
      <c r="B124" s="236" t="s">
        <v>503</v>
      </c>
      <c r="C124" s="597">
        <f t="shared" si="5"/>
        <v>41513</v>
      </c>
      <c r="D124" s="597">
        <f t="shared" si="5"/>
        <v>50644</v>
      </c>
      <c r="E124" s="598" t="str">
        <f t="shared" si="5"/>
        <v>25 YR FLOATING RATE DEBT: PAY 12M/1Y RPI 1.2080% REAL RATE GBP 40.0 M MAT: 27-AUG-2038</v>
      </c>
      <c r="F124" s="599" t="str">
        <f t="shared" si="5"/>
        <v>RPI</v>
      </c>
      <c r="G124" s="600" t="str">
        <f t="shared" si="5"/>
        <v>Senior</v>
      </c>
      <c r="H124" s="599" t="str">
        <f t="shared" si="5"/>
        <v>RPI 12 month</v>
      </c>
      <c r="I124" s="601">
        <f t="shared" si="5"/>
        <v>1.208E-2</v>
      </c>
      <c r="J124" s="200"/>
      <c r="K124" s="201"/>
      <c r="L124" s="202"/>
      <c r="M124" s="468">
        <v>0.6</v>
      </c>
      <c r="N124" s="468">
        <v>0.66541979881051172</v>
      </c>
      <c r="O124" s="468">
        <v>0.69598193418282528</v>
      </c>
      <c r="P124" s="468">
        <v>0.71311352201133871</v>
      </c>
      <c r="Q124" s="468">
        <v>0.73147580927660638</v>
      </c>
      <c r="R124" s="468">
        <v>0.75342008355490475</v>
      </c>
      <c r="S124" s="468">
        <v>0.77602268606155178</v>
      </c>
      <c r="T124" s="468">
        <v>0.79930336664339841</v>
      </c>
      <c r="U124" s="468">
        <v>0.82328246764270041</v>
      </c>
      <c r="V124" s="468">
        <v>0.84798094167198146</v>
      </c>
    </row>
    <row r="125" spans="2:22" outlineLevel="1">
      <c r="B125" s="236" t="s">
        <v>504</v>
      </c>
      <c r="C125" s="597">
        <f t="shared" si="5"/>
        <v>43439</v>
      </c>
      <c r="D125" s="597">
        <f t="shared" si="5"/>
        <v>48918</v>
      </c>
      <c r="E125" s="598" t="str">
        <f t="shared" si="5"/>
        <v>15 YR FIXED RATE DEBT: PAY 3.13500% NOK 1000.0 M MAT: 05-DEC-2033</v>
      </c>
      <c r="F125" s="599" t="str">
        <f t="shared" si="5"/>
        <v>Fixed</v>
      </c>
      <c r="G125" s="600" t="str">
        <f t="shared" si="5"/>
        <v>Senior</v>
      </c>
      <c r="H125" s="599" t="str">
        <f t="shared" si="5"/>
        <v>N/A</v>
      </c>
      <c r="I125" s="601">
        <f t="shared" si="5"/>
        <v>3.1350000000000003E-2</v>
      </c>
      <c r="J125" s="200"/>
      <c r="K125" s="201"/>
      <c r="L125" s="202"/>
      <c r="M125" s="468">
        <v>2.6</v>
      </c>
      <c r="N125" s="468">
        <v>2.7153096099999998</v>
      </c>
      <c r="O125" s="468">
        <v>2.7153096099999998</v>
      </c>
      <c r="P125" s="468">
        <v>2.7153096099999998</v>
      </c>
      <c r="Q125" s="468">
        <v>2.7153096099999998</v>
      </c>
      <c r="R125" s="468">
        <v>2.7153096099999998</v>
      </c>
      <c r="S125" s="468">
        <v>2.7153096099999998</v>
      </c>
      <c r="T125" s="468">
        <v>2.7153096099999998</v>
      </c>
      <c r="U125" s="468">
        <v>2.7153096099999998</v>
      </c>
      <c r="V125" s="468">
        <v>2.7153096099999998</v>
      </c>
    </row>
    <row r="126" spans="2:22" outlineLevel="1">
      <c r="B126" s="236" t="s">
        <v>505</v>
      </c>
      <c r="C126" s="597">
        <f t="shared" si="5"/>
        <v>43259</v>
      </c>
      <c r="D126" s="597">
        <f t="shared" si="5"/>
        <v>46546</v>
      </c>
      <c r="E126" s="598" t="str">
        <f t="shared" si="5"/>
        <v>9 YR FIXED RATE DEBT: PAY 4.00000% GBP 50.0 M MAT: 08-JUN-2027</v>
      </c>
      <c r="F126" s="599" t="str">
        <f t="shared" si="5"/>
        <v>Fixed</v>
      </c>
      <c r="G126" s="600" t="str">
        <f t="shared" si="5"/>
        <v>Senior</v>
      </c>
      <c r="H126" s="599" t="str">
        <f t="shared" si="5"/>
        <v>N/A</v>
      </c>
      <c r="I126" s="601">
        <f t="shared" si="5"/>
        <v>0.04</v>
      </c>
      <c r="J126" s="200"/>
      <c r="K126" s="201"/>
      <c r="L126" s="202"/>
      <c r="M126" s="468">
        <v>2</v>
      </c>
      <c r="N126" s="468">
        <v>1.2340786800000001</v>
      </c>
      <c r="O126" s="468">
        <v>1.2375099500000002</v>
      </c>
      <c r="P126" s="468">
        <v>1.23684131</v>
      </c>
      <c r="Q126" s="468">
        <v>1.2380557599999999</v>
      </c>
      <c r="R126" s="468">
        <v>1.2374690100000001</v>
      </c>
      <c r="S126" s="468">
        <v>0.23393249999999999</v>
      </c>
      <c r="T126" s="468">
        <v>0</v>
      </c>
      <c r="U126" s="468">
        <v>0</v>
      </c>
      <c r="V126" s="468">
        <v>0</v>
      </c>
    </row>
    <row r="127" spans="2:22" outlineLevel="1">
      <c r="B127" s="236" t="s">
        <v>506</v>
      </c>
      <c r="C127" s="597">
        <f t="shared" si="5"/>
        <v>43502</v>
      </c>
      <c r="D127" s="597">
        <f t="shared" si="5"/>
        <v>49346</v>
      </c>
      <c r="E127" s="598" t="str">
        <f t="shared" si="5"/>
        <v>16 YR FIXED RATE DEBT: PAY 2.75000% GBP 250.0 M MAT: 06-FEB-2035</v>
      </c>
      <c r="F127" s="599" t="str">
        <f t="shared" si="5"/>
        <v>Fixed</v>
      </c>
      <c r="G127" s="600" t="str">
        <f t="shared" si="5"/>
        <v>Senior</v>
      </c>
      <c r="H127" s="599" t="str">
        <f t="shared" si="5"/>
        <v>N/A</v>
      </c>
      <c r="I127" s="601">
        <f t="shared" si="5"/>
        <v>2.75E-2</v>
      </c>
      <c r="J127" s="200"/>
      <c r="K127" s="201"/>
      <c r="L127" s="202"/>
      <c r="M127" s="468">
        <v>6.9</v>
      </c>
      <c r="N127" s="468">
        <v>6.8981918500000008</v>
      </c>
      <c r="O127" s="468">
        <v>6.9324738300000002</v>
      </c>
      <c r="P127" s="468">
        <v>6.9010032599999995</v>
      </c>
      <c r="Q127" s="468">
        <v>6.9168730900000002</v>
      </c>
      <c r="R127" s="468">
        <v>6.9171421799999999</v>
      </c>
      <c r="S127" s="468">
        <v>6.9324738300000002</v>
      </c>
      <c r="T127" s="468">
        <v>6.9010032599999995</v>
      </c>
      <c r="U127" s="468">
        <v>6.9168730900000002</v>
      </c>
      <c r="V127" s="468">
        <v>6.9171421799999999</v>
      </c>
    </row>
    <row r="128" spans="2:22" outlineLevel="1">
      <c r="B128" s="236" t="s">
        <v>507</v>
      </c>
      <c r="C128" s="597">
        <f t="shared" si="5"/>
        <v>43511</v>
      </c>
      <c r="D128" s="597">
        <f t="shared" si="5"/>
        <v>50816</v>
      </c>
      <c r="E128" s="598" t="str">
        <f t="shared" si="5"/>
        <v>20 YR FIXED RATE DEBT: PAY 2.03700% EUR 112.5 M MAT: 15-FEB-2039</v>
      </c>
      <c r="F128" s="599" t="str">
        <f t="shared" si="5"/>
        <v>Fixed</v>
      </c>
      <c r="G128" s="600" t="str">
        <f t="shared" si="5"/>
        <v>Senior</v>
      </c>
      <c r="H128" s="599" t="str">
        <f t="shared" si="5"/>
        <v>N/A</v>
      </c>
      <c r="I128" s="601">
        <f t="shared" si="5"/>
        <v>2.0369999999999999E-2</v>
      </c>
      <c r="J128" s="200"/>
      <c r="K128" s="201"/>
      <c r="L128" s="202"/>
      <c r="M128" s="468">
        <v>1.9</v>
      </c>
      <c r="N128" s="468">
        <v>1.9256743999999999</v>
      </c>
      <c r="O128" s="468">
        <v>1.93536737</v>
      </c>
      <c r="P128" s="468">
        <v>1.9263263400000001</v>
      </c>
      <c r="Q128" s="468">
        <v>1.9308860700000001</v>
      </c>
      <c r="R128" s="468">
        <v>1.9309645</v>
      </c>
      <c r="S128" s="468">
        <v>1.93536737</v>
      </c>
      <c r="T128" s="468">
        <v>1.9263263400000001</v>
      </c>
      <c r="U128" s="468">
        <v>1.9308860700000001</v>
      </c>
      <c r="V128" s="468">
        <v>1.9309645</v>
      </c>
    </row>
    <row r="129" spans="2:22" outlineLevel="1">
      <c r="B129" s="236" t="s">
        <v>508</v>
      </c>
      <c r="C129" s="597">
        <f t="shared" ref="C129:I138" si="6">C57</f>
        <v>43742</v>
      </c>
      <c r="D129" s="597">
        <f t="shared" si="6"/>
        <v>49221</v>
      </c>
      <c r="E129" s="598" t="str">
        <f t="shared" si="6"/>
        <v>15 YR FIXED RATE DEBT: PAY 2.71000% AUD 70.0 M MAT: 04-OCT-2034</v>
      </c>
      <c r="F129" s="599" t="str">
        <f t="shared" si="6"/>
        <v>Fixed</v>
      </c>
      <c r="G129" s="600" t="str">
        <f t="shared" si="6"/>
        <v>Senior</v>
      </c>
      <c r="H129" s="599" t="str">
        <f t="shared" si="6"/>
        <v>N/A</v>
      </c>
      <c r="I129" s="601">
        <f t="shared" si="6"/>
        <v>2.7099999999999999E-2</v>
      </c>
      <c r="J129" s="200"/>
      <c r="K129" s="201"/>
      <c r="L129" s="202"/>
      <c r="M129" s="468">
        <v>1</v>
      </c>
      <c r="N129" s="468">
        <v>1.0788608400000002</v>
      </c>
      <c r="O129" s="468">
        <v>1.0847886499999999</v>
      </c>
      <c r="P129" s="468">
        <v>1.0818247400000001</v>
      </c>
      <c r="Q129" s="468">
        <v>1.0818247400000001</v>
      </c>
      <c r="R129" s="468">
        <v>1.0818247400000001</v>
      </c>
      <c r="S129" s="468">
        <v>1.0847886499999999</v>
      </c>
      <c r="T129" s="468">
        <v>1.0818247400000001</v>
      </c>
      <c r="U129" s="468">
        <v>1.0818247400000001</v>
      </c>
      <c r="V129" s="468">
        <v>1.0818247400000001</v>
      </c>
    </row>
    <row r="130" spans="2:22" outlineLevel="1">
      <c r="B130" s="236" t="s">
        <v>509</v>
      </c>
      <c r="C130" s="597">
        <f t="shared" si="6"/>
        <v>43724</v>
      </c>
      <c r="D130" s="597">
        <f t="shared" si="6"/>
        <v>46281</v>
      </c>
      <c r="E130" s="598" t="str">
        <f t="shared" si="6"/>
        <v>7 YR FIXED RATE DEBT: PAY 1.37500% GBP 300.0 M MAT: 16-SEP-2026</v>
      </c>
      <c r="F130" s="599" t="str">
        <f t="shared" si="6"/>
        <v>Fixed</v>
      </c>
      <c r="G130" s="600" t="str">
        <f t="shared" si="6"/>
        <v>Senior</v>
      </c>
      <c r="H130" s="599" t="str">
        <f t="shared" si="6"/>
        <v>N/A</v>
      </c>
      <c r="I130" s="601">
        <f t="shared" si="6"/>
        <v>1.375E-2</v>
      </c>
      <c r="J130" s="200"/>
      <c r="K130" s="201"/>
      <c r="L130" s="202"/>
      <c r="M130" s="468">
        <v>4.0999999999999996</v>
      </c>
      <c r="N130" s="468">
        <v>4.1555764899999996</v>
      </c>
      <c r="O130" s="468">
        <v>4.1738224400000004</v>
      </c>
      <c r="P130" s="468">
        <v>4.1586323800000002</v>
      </c>
      <c r="Q130" s="468">
        <v>4.1685239100000002</v>
      </c>
      <c r="R130" s="468">
        <v>1.9293747999999999</v>
      </c>
      <c r="S130" s="468">
        <v>0</v>
      </c>
      <c r="T130" s="468">
        <v>0</v>
      </c>
      <c r="U130" s="468">
        <v>0</v>
      </c>
      <c r="V130" s="468">
        <v>0</v>
      </c>
    </row>
    <row r="131" spans="2:22" outlineLevel="1">
      <c r="B131" s="236" t="s">
        <v>510</v>
      </c>
      <c r="C131" s="597">
        <f t="shared" si="6"/>
        <v>43724</v>
      </c>
      <c r="D131" s="597">
        <f t="shared" si="6"/>
        <v>50664</v>
      </c>
      <c r="E131" s="598" t="str">
        <f t="shared" si="6"/>
        <v>19 YR FIXED RATE DEBT: PAY 2.00000% GBP 400.0 M MAT: 16-SEP-2038</v>
      </c>
      <c r="F131" s="599" t="str">
        <f t="shared" si="6"/>
        <v>Fixed</v>
      </c>
      <c r="G131" s="600" t="str">
        <f t="shared" si="6"/>
        <v>Senior</v>
      </c>
      <c r="H131" s="599" t="str">
        <f t="shared" si="6"/>
        <v>N/A</v>
      </c>
      <c r="I131" s="601">
        <f t="shared" si="6"/>
        <v>0.02</v>
      </c>
      <c r="J131" s="200"/>
      <c r="K131" s="201"/>
      <c r="L131" s="202"/>
      <c r="M131" s="468">
        <v>8</v>
      </c>
      <c r="N131" s="468">
        <v>8.0903989799999998</v>
      </c>
      <c r="O131" s="468">
        <v>8.1259349200000006</v>
      </c>
      <c r="P131" s="468">
        <v>8.0963465699999997</v>
      </c>
      <c r="Q131" s="468">
        <v>8.115594569999999</v>
      </c>
      <c r="R131" s="468">
        <v>8.1126253500000001</v>
      </c>
      <c r="S131" s="468">
        <v>8.1259349200000006</v>
      </c>
      <c r="T131" s="468">
        <v>8.0963465699999997</v>
      </c>
      <c r="U131" s="468">
        <v>8.115594569999999</v>
      </c>
      <c r="V131" s="468">
        <v>8.1126253500000001</v>
      </c>
    </row>
    <row r="132" spans="2:22" outlineLevel="1">
      <c r="B132" s="236" t="s">
        <v>511</v>
      </c>
      <c r="C132" s="597">
        <f t="shared" si="6"/>
        <v>43724</v>
      </c>
      <c r="D132" s="597">
        <f t="shared" si="6"/>
        <v>50664</v>
      </c>
      <c r="E132" s="598" t="str">
        <f t="shared" si="6"/>
        <v>19 YR FIXED RATE DEBT: PAY 2.00000% GBP 40.0 M MAT: 16-SEP-2038</v>
      </c>
      <c r="F132" s="599" t="str">
        <f t="shared" si="6"/>
        <v>Fixed</v>
      </c>
      <c r="G132" s="600" t="str">
        <f t="shared" si="6"/>
        <v>Senior</v>
      </c>
      <c r="H132" s="599" t="str">
        <f t="shared" si="6"/>
        <v>N/A</v>
      </c>
      <c r="I132" s="601">
        <f t="shared" si="6"/>
        <v>0.02</v>
      </c>
      <c r="J132" s="200"/>
      <c r="K132" s="201"/>
      <c r="L132" s="202"/>
      <c r="M132" s="468">
        <v>0.8</v>
      </c>
      <c r="N132" s="468">
        <v>0.83250201000000001</v>
      </c>
      <c r="O132" s="468">
        <v>0.83616866999999995</v>
      </c>
      <c r="P132" s="468">
        <v>0.83311261000000003</v>
      </c>
      <c r="Q132" s="468">
        <v>0.83508601999999998</v>
      </c>
      <c r="R132" s="468">
        <v>0.83478909999999995</v>
      </c>
      <c r="S132" s="468">
        <v>0.83616866999999995</v>
      </c>
      <c r="T132" s="468">
        <v>0.83311261000000003</v>
      </c>
      <c r="U132" s="468">
        <v>0.83508601999999998</v>
      </c>
      <c r="V132" s="468">
        <v>0.83478909999999995</v>
      </c>
    </row>
    <row r="133" spans="2:22" outlineLevel="1">
      <c r="B133" s="236" t="s">
        <v>512</v>
      </c>
      <c r="C133" s="597">
        <f t="shared" si="6"/>
        <v>43809</v>
      </c>
      <c r="D133" s="597">
        <f t="shared" si="6"/>
        <v>51114</v>
      </c>
      <c r="E133" s="598" t="str">
        <f t="shared" si="6"/>
        <v>20 YR FIXED RATE DEBT: PAY 3.12000% AUD 82.0 M MAT: 10-DEC-2039</v>
      </c>
      <c r="F133" s="599" t="str">
        <f t="shared" si="6"/>
        <v>Fixed</v>
      </c>
      <c r="G133" s="600" t="str">
        <f t="shared" si="6"/>
        <v>Senior</v>
      </c>
      <c r="H133" s="599" t="str">
        <f t="shared" si="6"/>
        <v>N/A</v>
      </c>
      <c r="I133" s="601">
        <f t="shared" si="6"/>
        <v>3.1199999999999999E-2</v>
      </c>
      <c r="J133" s="200"/>
      <c r="K133" s="201"/>
      <c r="L133" s="202"/>
      <c r="M133" s="468">
        <v>1.4</v>
      </c>
      <c r="N133" s="468">
        <v>1.45501189</v>
      </c>
      <c r="O133" s="468">
        <v>1.4630064700000001</v>
      </c>
      <c r="P133" s="468">
        <v>1.45900918</v>
      </c>
      <c r="Q133" s="468">
        <v>1.45900918</v>
      </c>
      <c r="R133" s="468">
        <v>1.45900918</v>
      </c>
      <c r="S133" s="468">
        <v>1.4630064700000001</v>
      </c>
      <c r="T133" s="468">
        <v>1.45900918</v>
      </c>
      <c r="U133" s="468">
        <v>1.45900918</v>
      </c>
      <c r="V133" s="468">
        <v>1.45900918</v>
      </c>
    </row>
    <row r="134" spans="2:22" outlineLevel="1">
      <c r="B134" s="236" t="s">
        <v>513</v>
      </c>
      <c r="C134" s="597">
        <f t="shared" si="6"/>
        <v>43818</v>
      </c>
      <c r="D134" s="597">
        <f t="shared" si="6"/>
        <v>51123</v>
      </c>
      <c r="E134" s="598" t="str">
        <f t="shared" si="6"/>
        <v>20 YR FIXED RATE DEBT: PAY 2.22600% GBP 50.0 M MAT: 19-DEC-2039</v>
      </c>
      <c r="F134" s="599" t="str">
        <f t="shared" si="6"/>
        <v>Fixed</v>
      </c>
      <c r="G134" s="600" t="str">
        <f t="shared" si="6"/>
        <v>Senior</v>
      </c>
      <c r="H134" s="599" t="str">
        <f t="shared" si="6"/>
        <v>N/A</v>
      </c>
      <c r="I134" s="601">
        <f t="shared" si="6"/>
        <v>2.2259999999999999E-2</v>
      </c>
      <c r="J134" s="200"/>
      <c r="K134" s="201"/>
      <c r="L134" s="202"/>
      <c r="M134" s="468">
        <v>1.1000000000000001</v>
      </c>
      <c r="N134" s="468">
        <v>1.1099506799999999</v>
      </c>
      <c r="O134" s="468">
        <v>1.1152690000000001</v>
      </c>
      <c r="P134" s="468">
        <v>1.1106529599999999</v>
      </c>
      <c r="Q134" s="468">
        <v>1.1130780500000002</v>
      </c>
      <c r="R134" s="468">
        <v>1.113</v>
      </c>
      <c r="S134" s="468">
        <v>1.1152690000000001</v>
      </c>
      <c r="T134" s="468">
        <v>1.1106529599999999</v>
      </c>
      <c r="U134" s="468">
        <v>1.1130780500000002</v>
      </c>
      <c r="V134" s="468">
        <v>1.113</v>
      </c>
    </row>
    <row r="135" spans="2:22" outlineLevel="1">
      <c r="B135" s="236" t="s">
        <v>514</v>
      </c>
      <c r="C135" s="597">
        <f t="shared" si="6"/>
        <v>43850</v>
      </c>
      <c r="D135" s="597">
        <f t="shared" si="6"/>
        <v>45677</v>
      </c>
      <c r="E135" s="598" t="str">
        <f t="shared" si="6"/>
        <v>5 YR FIXED RATE DEBT: PAY 0.19000% EUR 500.0 M MAT: 20-JAN-2025</v>
      </c>
      <c r="F135" s="599" t="str">
        <f t="shared" si="6"/>
        <v>Fixed</v>
      </c>
      <c r="G135" s="600" t="str">
        <f t="shared" si="6"/>
        <v>Senior</v>
      </c>
      <c r="H135" s="599" t="str">
        <f t="shared" si="6"/>
        <v>N/A</v>
      </c>
      <c r="I135" s="601">
        <f t="shared" si="6"/>
        <v>1.9E-3</v>
      </c>
      <c r="J135" s="200"/>
      <c r="K135" s="201"/>
      <c r="L135" s="202"/>
      <c r="M135" s="468">
        <v>0.8</v>
      </c>
      <c r="N135" s="468">
        <v>0.79828341000000003</v>
      </c>
      <c r="O135" s="468">
        <v>0.80217828000000002</v>
      </c>
      <c r="P135" s="468">
        <v>0.64519724000000001</v>
      </c>
      <c r="Q135" s="468">
        <v>0</v>
      </c>
      <c r="R135" s="468">
        <v>0</v>
      </c>
      <c r="S135" s="468">
        <v>0</v>
      </c>
      <c r="T135" s="468">
        <v>0</v>
      </c>
      <c r="U135" s="468">
        <v>0</v>
      </c>
      <c r="V135" s="468">
        <v>0</v>
      </c>
    </row>
    <row r="136" spans="2:22" outlineLevel="1">
      <c r="B136" s="236" t="s">
        <v>515</v>
      </c>
      <c r="C136" s="597">
        <f t="shared" si="6"/>
        <v>43854</v>
      </c>
      <c r="D136" s="597">
        <f t="shared" si="6"/>
        <v>46776</v>
      </c>
      <c r="E136" s="598" t="str">
        <f t="shared" si="6"/>
        <v>8 YR FIXED RATE DEBT: PAY 2.24500% HKD 422.0 M MAT: 24-JAN-2028</v>
      </c>
      <c r="F136" s="599" t="str">
        <f t="shared" si="6"/>
        <v>Fixed</v>
      </c>
      <c r="G136" s="600" t="str">
        <f t="shared" si="6"/>
        <v>Senior</v>
      </c>
      <c r="H136" s="599" t="str">
        <f t="shared" si="6"/>
        <v>N/A</v>
      </c>
      <c r="I136" s="601">
        <f t="shared" si="6"/>
        <v>2.2450000000000001E-2</v>
      </c>
      <c r="J136" s="200"/>
      <c r="K136" s="201"/>
      <c r="L136" s="202"/>
      <c r="M136" s="468">
        <v>0.9</v>
      </c>
      <c r="N136" s="468">
        <v>0.91761256999999996</v>
      </c>
      <c r="O136" s="468">
        <v>0.92265439000000005</v>
      </c>
      <c r="P136" s="468">
        <v>0.92013347999999995</v>
      </c>
      <c r="Q136" s="468">
        <v>0.92013347999999995</v>
      </c>
      <c r="R136" s="468">
        <v>0.92013347999999995</v>
      </c>
      <c r="S136" s="468">
        <v>0.75375318000000002</v>
      </c>
      <c r="T136" s="468">
        <v>0</v>
      </c>
      <c r="U136" s="468">
        <v>0</v>
      </c>
      <c r="V136" s="468">
        <v>0</v>
      </c>
    </row>
    <row r="137" spans="2:22" outlineLevel="1">
      <c r="B137" s="236" t="s">
        <v>516</v>
      </c>
      <c r="C137" s="597">
        <f t="shared" si="6"/>
        <v>43859</v>
      </c>
      <c r="D137" s="597">
        <f t="shared" si="6"/>
        <v>47877</v>
      </c>
      <c r="E137" s="598" t="str">
        <f t="shared" si="6"/>
        <v>11 YR FIXED RATE DEBT: PAY 2.50000% USD 85.0 M MAT: 29-JAN-2031</v>
      </c>
      <c r="F137" s="599" t="str">
        <f t="shared" si="6"/>
        <v>Fixed</v>
      </c>
      <c r="G137" s="600" t="str">
        <f t="shared" si="6"/>
        <v>Senior</v>
      </c>
      <c r="H137" s="599" t="str">
        <f t="shared" si="6"/>
        <v>N/A</v>
      </c>
      <c r="I137" s="601">
        <f t="shared" si="6"/>
        <v>2.5000000000000001E-2</v>
      </c>
      <c r="J137" s="200"/>
      <c r="K137" s="201"/>
      <c r="L137" s="202"/>
      <c r="M137" s="468">
        <v>1.6</v>
      </c>
      <c r="N137" s="468">
        <v>1.6167687399999999</v>
      </c>
      <c r="O137" s="468">
        <v>1.6167687399999999</v>
      </c>
      <c r="P137" s="468">
        <v>1.6167687399999999</v>
      </c>
      <c r="Q137" s="468">
        <v>1.6167687399999999</v>
      </c>
      <c r="R137" s="468">
        <v>1.6167687399999999</v>
      </c>
      <c r="S137" s="468">
        <v>1.6167687399999999</v>
      </c>
      <c r="T137" s="468">
        <v>1.6167687399999999</v>
      </c>
      <c r="U137" s="468">
        <v>1.6167687399999999</v>
      </c>
      <c r="V137" s="468">
        <v>1.3383252299999999</v>
      </c>
    </row>
    <row r="138" spans="2:22" outlineLevel="1">
      <c r="B138" s="236" t="s">
        <v>517</v>
      </c>
      <c r="C138" s="597">
        <f t="shared" si="6"/>
        <v>43881</v>
      </c>
      <c r="D138" s="597">
        <f t="shared" si="6"/>
        <v>51186</v>
      </c>
      <c r="E138" s="598" t="str">
        <f t="shared" si="6"/>
        <v>20 YR FIXED RATE DEBT: PAY 1.15100% EUR 100.0 M MAT: 20-FEB-2040</v>
      </c>
      <c r="F138" s="599" t="str">
        <f t="shared" si="6"/>
        <v>Fixed</v>
      </c>
      <c r="G138" s="600" t="str">
        <f t="shared" si="6"/>
        <v>Senior</v>
      </c>
      <c r="H138" s="599" t="str">
        <f t="shared" si="6"/>
        <v>N/A</v>
      </c>
      <c r="I138" s="601">
        <f t="shared" si="6"/>
        <v>1.1509999999999999E-2</v>
      </c>
      <c r="J138" s="200"/>
      <c r="K138" s="201"/>
      <c r="L138" s="202"/>
      <c r="M138" s="468">
        <v>1</v>
      </c>
      <c r="N138" s="468">
        <v>0.96956806000000006</v>
      </c>
      <c r="O138" s="468">
        <v>0.97210213000000001</v>
      </c>
      <c r="P138" s="468">
        <v>0.96748696000000001</v>
      </c>
      <c r="Q138" s="468">
        <v>0.96924922999999996</v>
      </c>
      <c r="R138" s="468">
        <v>0.96537243000000006</v>
      </c>
      <c r="S138" s="468">
        <v>0.97478128000000008</v>
      </c>
      <c r="T138" s="468">
        <v>0.96985281999999995</v>
      </c>
      <c r="U138" s="468">
        <v>0.96981393999999999</v>
      </c>
      <c r="V138" s="468">
        <v>0.96985273999999999</v>
      </c>
    </row>
    <row r="139" spans="2:22" outlineLevel="1">
      <c r="B139" s="236" t="s">
        <v>518</v>
      </c>
      <c r="C139" s="597">
        <f t="shared" ref="C139:I148" si="7">C67</f>
        <v>43902</v>
      </c>
      <c r="D139" s="597">
        <f t="shared" si="7"/>
        <v>48285</v>
      </c>
      <c r="E139" s="598" t="str">
        <f t="shared" si="7"/>
        <v>12 YR FIXED RATE DEBT: PAY 2.02000% AUD 70.0 M MAT: 12-MAR-2032</v>
      </c>
      <c r="F139" s="599" t="str">
        <f t="shared" si="7"/>
        <v>Fixed</v>
      </c>
      <c r="G139" s="600" t="str">
        <f t="shared" si="7"/>
        <v>Senior</v>
      </c>
      <c r="H139" s="599" t="str">
        <f t="shared" si="7"/>
        <v>N/A</v>
      </c>
      <c r="I139" s="601">
        <f t="shared" si="7"/>
        <v>2.0199999999999999E-2</v>
      </c>
      <c r="J139" s="200"/>
      <c r="K139" s="201"/>
      <c r="L139" s="202"/>
      <c r="M139" s="468">
        <v>0.8</v>
      </c>
      <c r="N139" s="468">
        <v>0.80418734999999997</v>
      </c>
      <c r="O139" s="468">
        <v>0.80637859999999995</v>
      </c>
      <c r="P139" s="468">
        <v>0.80637859999999995</v>
      </c>
      <c r="Q139" s="468">
        <v>0.80637859999999995</v>
      </c>
      <c r="R139" s="468">
        <v>0.80637859999999995</v>
      </c>
      <c r="S139" s="468">
        <v>0.80637859999999995</v>
      </c>
      <c r="T139" s="468">
        <v>0.80637859999999995</v>
      </c>
      <c r="U139" s="468">
        <v>0.80637859999999995</v>
      </c>
      <c r="V139" s="468">
        <v>0.80637859999999995</v>
      </c>
    </row>
    <row r="140" spans="2:22" outlineLevel="1">
      <c r="B140" s="236" t="s">
        <v>519</v>
      </c>
      <c r="C140" s="597">
        <f t="shared" si="7"/>
        <v>43938</v>
      </c>
      <c r="D140" s="597">
        <f t="shared" si="7"/>
        <v>51243</v>
      </c>
      <c r="E140" s="598" t="str">
        <f t="shared" si="7"/>
        <v>20 YR FIXED RATE DEBT: PAY 2.00000% GBP 400.0 M MAT: 17-APR-2040</v>
      </c>
      <c r="F140" s="599" t="str">
        <f t="shared" si="7"/>
        <v>Fixed</v>
      </c>
      <c r="G140" s="600" t="str">
        <f t="shared" si="7"/>
        <v>Senior</v>
      </c>
      <c r="H140" s="599" t="str">
        <f t="shared" si="7"/>
        <v>N/A</v>
      </c>
      <c r="I140" s="601">
        <f t="shared" si="7"/>
        <v>0.02</v>
      </c>
      <c r="J140" s="200"/>
      <c r="K140" s="201"/>
      <c r="L140" s="202"/>
      <c r="M140" s="468">
        <v>8</v>
      </c>
      <c r="N140" s="468">
        <v>8.2618930000000006</v>
      </c>
      <c r="O140" s="468">
        <v>8.286915539999999</v>
      </c>
      <c r="P140" s="468">
        <v>8.2815416800000001</v>
      </c>
      <c r="Q140" s="468">
        <v>8.2853142999999996</v>
      </c>
      <c r="R140" s="468">
        <v>8.2845905099999992</v>
      </c>
      <c r="S140" s="468">
        <v>8.286915539999999</v>
      </c>
      <c r="T140" s="468">
        <v>8.2815416800000001</v>
      </c>
      <c r="U140" s="468">
        <v>8.2853142999999996</v>
      </c>
      <c r="V140" s="468">
        <v>8.2845905099999992</v>
      </c>
    </row>
    <row r="141" spans="2:22" outlineLevel="1">
      <c r="B141" s="236" t="s">
        <v>520</v>
      </c>
      <c r="C141" s="597">
        <f t="shared" si="7"/>
        <v>44036</v>
      </c>
      <c r="D141" s="597">
        <f t="shared" si="7"/>
        <v>49514</v>
      </c>
      <c r="E141" s="598" t="str">
        <f t="shared" si="7"/>
        <v>15 YR FIXED RATE DEBT: PAY 2.50000% AUD 55.0 M MAT: 24-JUL-2035</v>
      </c>
      <c r="F141" s="599" t="str">
        <f t="shared" si="7"/>
        <v>Fixed</v>
      </c>
      <c r="G141" s="600" t="str">
        <f t="shared" si="7"/>
        <v>Senior</v>
      </c>
      <c r="H141" s="599" t="str">
        <f t="shared" si="7"/>
        <v>N/A</v>
      </c>
      <c r="I141" s="601">
        <f t="shared" si="7"/>
        <v>2.5000000000000001E-2</v>
      </c>
      <c r="J141" s="200"/>
      <c r="K141" s="201"/>
      <c r="L141" s="202"/>
      <c r="M141" s="468">
        <v>0.7</v>
      </c>
      <c r="N141" s="468">
        <v>0.78413759999999999</v>
      </c>
      <c r="O141" s="468">
        <v>0.78413759999999999</v>
      </c>
      <c r="P141" s="468">
        <v>0.78413759999999999</v>
      </c>
      <c r="Q141" s="468">
        <v>0.78413759999999999</v>
      </c>
      <c r="R141" s="468">
        <v>0.78413759999999999</v>
      </c>
      <c r="S141" s="468">
        <v>0.78413759999999999</v>
      </c>
      <c r="T141" s="468">
        <v>0.78413759999999999</v>
      </c>
      <c r="U141" s="468">
        <v>0.78413759999999999</v>
      </c>
      <c r="V141" s="468">
        <v>0.78413759999999999</v>
      </c>
    </row>
    <row r="142" spans="2:22" outlineLevel="1">
      <c r="B142" s="236" t="s">
        <v>521</v>
      </c>
      <c r="C142" s="597">
        <f t="shared" si="7"/>
        <v>44019</v>
      </c>
      <c r="D142" s="597">
        <f t="shared" si="7"/>
        <v>48402</v>
      </c>
      <c r="E142" s="598" t="str">
        <f t="shared" si="7"/>
        <v>12 YR FIXED RATE DEBT: PAY 0.82300% EUR 750.0 M MAT: 07-JUL-2032</v>
      </c>
      <c r="F142" s="599" t="str">
        <f t="shared" si="7"/>
        <v>Fixed</v>
      </c>
      <c r="G142" s="600" t="str">
        <f t="shared" si="7"/>
        <v>Senior</v>
      </c>
      <c r="H142" s="599" t="str">
        <f t="shared" si="7"/>
        <v>N/A</v>
      </c>
      <c r="I142" s="601">
        <f t="shared" si="7"/>
        <v>8.2299999999999995E-3</v>
      </c>
      <c r="J142" s="200"/>
      <c r="K142" s="201"/>
      <c r="L142" s="202"/>
      <c r="M142" s="468">
        <v>5.3</v>
      </c>
      <c r="N142" s="468">
        <v>5.1865995199999997</v>
      </c>
      <c r="O142" s="468">
        <v>5.2065167499999996</v>
      </c>
      <c r="P142" s="468">
        <v>5.1933170099999995</v>
      </c>
      <c r="Q142" s="468">
        <v>5.2027115000000004</v>
      </c>
      <c r="R142" s="468">
        <v>5.2008484199999998</v>
      </c>
      <c r="S142" s="468">
        <v>5.2065167499999996</v>
      </c>
      <c r="T142" s="468">
        <v>5.1933170099999995</v>
      </c>
      <c r="U142" s="468">
        <v>5.2027115000000004</v>
      </c>
      <c r="V142" s="468">
        <v>5.2008484199999998</v>
      </c>
    </row>
    <row r="143" spans="2:22" outlineLevel="1">
      <c r="B143" s="236" t="s">
        <v>522</v>
      </c>
      <c r="C143" s="597">
        <f t="shared" si="7"/>
        <v>44161</v>
      </c>
      <c r="D143" s="597">
        <f t="shared" si="7"/>
        <v>51466</v>
      </c>
      <c r="E143" s="598" t="str">
        <f t="shared" si="7"/>
        <v>20 YR FIXED RATE DEBT: PAY 0.87200% EUR 200.0 M MAT: 26-NOV-2040</v>
      </c>
      <c r="F143" s="599" t="str">
        <f t="shared" si="7"/>
        <v>Fixed</v>
      </c>
      <c r="G143" s="600" t="str">
        <f t="shared" si="7"/>
        <v>Senior</v>
      </c>
      <c r="H143" s="599" t="str">
        <f t="shared" si="7"/>
        <v>N/A</v>
      </c>
      <c r="I143" s="601">
        <f t="shared" si="7"/>
        <v>8.7200000000000003E-3</v>
      </c>
      <c r="J143" s="200"/>
      <c r="K143" s="201"/>
      <c r="L143" s="202"/>
      <c r="M143" s="468">
        <v>1.5</v>
      </c>
      <c r="N143" s="468">
        <v>1.46544019</v>
      </c>
      <c r="O143" s="468">
        <v>1.47236568</v>
      </c>
      <c r="P143" s="468">
        <v>1.46630612</v>
      </c>
      <c r="Q143" s="468">
        <v>1.46972657</v>
      </c>
      <c r="R143" s="468">
        <v>1.4694661200000001</v>
      </c>
      <c r="S143" s="468">
        <v>1.47236568</v>
      </c>
      <c r="T143" s="468">
        <v>1.46630612</v>
      </c>
      <c r="U143" s="468">
        <v>1.46972657</v>
      </c>
      <c r="V143" s="468">
        <v>1.4694661200000001</v>
      </c>
    </row>
    <row r="144" spans="2:22" outlineLevel="1">
      <c r="B144" s="236" t="s">
        <v>523</v>
      </c>
      <c r="C144" s="597">
        <f t="shared" si="7"/>
        <v>44161</v>
      </c>
      <c r="D144" s="597">
        <f t="shared" si="7"/>
        <v>51466</v>
      </c>
      <c r="E144" s="598" t="str">
        <f t="shared" si="7"/>
        <v>20 YR FIXED RATE DEBT: PAY 0.87200% EUR 300.0 M MAT: 26-NOV-2040</v>
      </c>
      <c r="F144" s="599" t="str">
        <f t="shared" si="7"/>
        <v>Fixed</v>
      </c>
      <c r="G144" s="600" t="str">
        <f t="shared" si="7"/>
        <v>Senior</v>
      </c>
      <c r="H144" s="599" t="str">
        <f t="shared" si="7"/>
        <v>N/A</v>
      </c>
      <c r="I144" s="601">
        <f t="shared" si="7"/>
        <v>8.7200000000000003E-3</v>
      </c>
      <c r="J144" s="200"/>
      <c r="K144" s="201"/>
      <c r="L144" s="202"/>
      <c r="M144" s="468">
        <v>2.2000000000000002</v>
      </c>
      <c r="N144" s="468">
        <v>2.2510530800000002</v>
      </c>
      <c r="O144" s="468">
        <v>2.2616962000000003</v>
      </c>
      <c r="P144" s="468">
        <v>2.2523877000000003</v>
      </c>
      <c r="Q144" s="468">
        <v>2.2576279599999998</v>
      </c>
      <c r="R144" s="468">
        <v>2.25723729</v>
      </c>
      <c r="S144" s="468">
        <v>2.2616962000000003</v>
      </c>
      <c r="T144" s="468">
        <v>2.2523877000000003</v>
      </c>
      <c r="U144" s="468">
        <v>2.2576279599999998</v>
      </c>
      <c r="V144" s="468">
        <v>2.25723729</v>
      </c>
    </row>
    <row r="145" spans="2:22" outlineLevel="1">
      <c r="B145" s="236" t="s">
        <v>524</v>
      </c>
      <c r="C145" s="597">
        <f t="shared" si="7"/>
        <v>44019</v>
      </c>
      <c r="D145" s="597">
        <f t="shared" si="7"/>
        <v>46941</v>
      </c>
      <c r="E145" s="598" t="str">
        <f t="shared" si="7"/>
        <v>8 YR FIXED RATE DEBT: PAY 1.12500% GBP 350.0 M MAT: 07-JUL-2028</v>
      </c>
      <c r="F145" s="599" t="str">
        <f t="shared" si="7"/>
        <v>Fixed</v>
      </c>
      <c r="G145" s="600" t="str">
        <f t="shared" si="7"/>
        <v>Senior</v>
      </c>
      <c r="H145" s="599" t="str">
        <f t="shared" si="7"/>
        <v>N/A</v>
      </c>
      <c r="I145" s="601">
        <f t="shared" si="7"/>
        <v>1.125E-2</v>
      </c>
      <c r="J145" s="200"/>
      <c r="K145" s="201"/>
      <c r="L145" s="202"/>
      <c r="M145" s="468">
        <v>3.9</v>
      </c>
      <c r="N145" s="468">
        <v>4.1304602800000003</v>
      </c>
      <c r="O145" s="468">
        <v>4.1465212300000003</v>
      </c>
      <c r="P145" s="468">
        <v>4.1356836599999998</v>
      </c>
      <c r="Q145" s="468">
        <v>4.1432182200000005</v>
      </c>
      <c r="R145" s="468">
        <v>4.1418077000000002</v>
      </c>
      <c r="S145" s="468">
        <v>4.1465212300000003</v>
      </c>
      <c r="T145" s="468">
        <v>1.1076057000000001</v>
      </c>
      <c r="U145" s="468">
        <v>0</v>
      </c>
      <c r="V145" s="468">
        <v>0</v>
      </c>
    </row>
    <row r="146" spans="2:22" outlineLevel="1">
      <c r="B146" s="236" t="s">
        <v>525</v>
      </c>
      <c r="C146" s="597">
        <f t="shared" si="7"/>
        <v>44039</v>
      </c>
      <c r="D146" s="597">
        <f t="shared" si="7"/>
        <v>46961</v>
      </c>
      <c r="E146" s="598" t="str">
        <f t="shared" si="7"/>
        <v>8 YR FIXED RATE DEBT: PAY 1.04450% GBP 100.0 M MAT: 27-JUL-2028</v>
      </c>
      <c r="F146" s="599" t="str">
        <f t="shared" si="7"/>
        <v>Fixed</v>
      </c>
      <c r="G146" s="600" t="str">
        <f t="shared" si="7"/>
        <v>Senior</v>
      </c>
      <c r="H146" s="599" t="str">
        <f t="shared" si="7"/>
        <v>N/A</v>
      </c>
      <c r="I146" s="601">
        <f t="shared" si="7"/>
        <v>1.0444999999999999E-2</v>
      </c>
      <c r="J146" s="200"/>
      <c r="K146" s="201"/>
      <c r="L146" s="202"/>
      <c r="M146" s="468">
        <v>1</v>
      </c>
      <c r="N146" s="468">
        <v>1.0416383600000001</v>
      </c>
      <c r="O146" s="468">
        <v>1.0458204200000001</v>
      </c>
      <c r="P146" s="468">
        <v>1.0427797299999999</v>
      </c>
      <c r="Q146" s="468">
        <v>1.04489985</v>
      </c>
      <c r="R146" s="468">
        <v>1.0445</v>
      </c>
      <c r="S146" s="468">
        <v>1.0458204200000001</v>
      </c>
      <c r="T146" s="468">
        <v>0.33635355</v>
      </c>
      <c r="U146" s="468">
        <v>0</v>
      </c>
      <c r="V146" s="468">
        <v>0</v>
      </c>
    </row>
    <row r="147" spans="2:22" outlineLevel="1">
      <c r="B147" s="236" t="s">
        <v>526</v>
      </c>
      <c r="C147" s="597">
        <f t="shared" si="7"/>
        <v>44067</v>
      </c>
      <c r="D147" s="597">
        <f t="shared" si="7"/>
        <v>51372</v>
      </c>
      <c r="E147" s="598" t="str">
        <f t="shared" si="7"/>
        <v>20 YR FIXED RATE DEBT: PAY 1.60800% GBP 50.0 M MAT: 24-AUG-2040</v>
      </c>
      <c r="F147" s="599" t="str">
        <f t="shared" si="7"/>
        <v>Fixed</v>
      </c>
      <c r="G147" s="600" t="str">
        <f t="shared" si="7"/>
        <v>Senior</v>
      </c>
      <c r="H147" s="599" t="str">
        <f t="shared" si="7"/>
        <v>N/A</v>
      </c>
      <c r="I147" s="601">
        <f t="shared" si="7"/>
        <v>1.6080000000000001E-2</v>
      </c>
      <c r="J147" s="200"/>
      <c r="K147" s="201"/>
      <c r="L147" s="202"/>
      <c r="M147" s="468">
        <v>0.8</v>
      </c>
      <c r="N147" s="468">
        <v>0.80177900999999996</v>
      </c>
      <c r="O147" s="468">
        <v>0.80578168000000006</v>
      </c>
      <c r="P147" s="468">
        <v>0.80221831999999993</v>
      </c>
      <c r="Q147" s="468">
        <v>0.80400000000000005</v>
      </c>
      <c r="R147" s="468">
        <v>0.80400000000000005</v>
      </c>
      <c r="S147" s="468">
        <v>0.80578168000000006</v>
      </c>
      <c r="T147" s="468">
        <v>0.80221831999999993</v>
      </c>
      <c r="U147" s="468">
        <v>0.80400000000000005</v>
      </c>
      <c r="V147" s="468">
        <v>0.80400000000000005</v>
      </c>
    </row>
    <row r="148" spans="2:22" outlineLevel="1">
      <c r="B148" s="236" t="s">
        <v>527</v>
      </c>
      <c r="C148" s="597">
        <f t="shared" si="7"/>
        <v>44357</v>
      </c>
      <c r="D148" s="597">
        <f t="shared" si="7"/>
        <v>49836</v>
      </c>
      <c r="E148" s="598" t="str">
        <f t="shared" si="7"/>
        <v>15 YR FIXED RATE DEBT: PAY 3.35000% AUD 55.0 M MAT: 10-JUN-2036</v>
      </c>
      <c r="F148" s="599" t="str">
        <f t="shared" si="7"/>
        <v>Fixed</v>
      </c>
      <c r="G148" s="600" t="str">
        <f t="shared" si="7"/>
        <v>Senior</v>
      </c>
      <c r="H148" s="599" t="str">
        <f t="shared" si="7"/>
        <v>N/A</v>
      </c>
      <c r="I148" s="601">
        <f t="shared" si="7"/>
        <v>3.3500000000000002E-2</v>
      </c>
      <c r="J148" s="200"/>
      <c r="K148" s="201"/>
      <c r="L148" s="202"/>
      <c r="M148" s="468">
        <v>0</v>
      </c>
      <c r="N148" s="468">
        <v>1.0507443799999998</v>
      </c>
      <c r="O148" s="468">
        <v>1.0507443799999998</v>
      </c>
      <c r="P148" s="468">
        <v>1.0507443799999998</v>
      </c>
      <c r="Q148" s="468">
        <v>1.0507443799999998</v>
      </c>
      <c r="R148" s="468">
        <v>1.0507443799999998</v>
      </c>
      <c r="S148" s="468">
        <v>1.0507443799999998</v>
      </c>
      <c r="T148" s="468">
        <v>1.0507443799999998</v>
      </c>
      <c r="U148" s="468">
        <v>1.0507443799999998</v>
      </c>
      <c r="V148" s="468">
        <v>1.0507443799999998</v>
      </c>
    </row>
    <row r="149" spans="2:22" outlineLevel="1">
      <c r="B149" s="236" t="s">
        <v>528</v>
      </c>
      <c r="C149" s="597">
        <f t="shared" ref="C149:I156" si="8">C77</f>
        <v>44369</v>
      </c>
      <c r="D149" s="597">
        <f t="shared" si="8"/>
        <v>47291</v>
      </c>
      <c r="E149" s="598" t="str">
        <f t="shared" si="8"/>
        <v>8 YR FIXED RATE DEBT: PAY 2.30100% CAD 850.0 M MAT: 22-JUN-2029</v>
      </c>
      <c r="F149" s="599" t="str">
        <f t="shared" si="8"/>
        <v>Fixed</v>
      </c>
      <c r="G149" s="600" t="str">
        <f t="shared" si="8"/>
        <v>Senior</v>
      </c>
      <c r="H149" s="599" t="str">
        <f t="shared" si="8"/>
        <v>N/A</v>
      </c>
      <c r="I149" s="601">
        <f t="shared" si="8"/>
        <v>2.3009999999999999E-2</v>
      </c>
      <c r="J149" s="200"/>
      <c r="K149" s="201"/>
      <c r="L149" s="202"/>
      <c r="M149" s="468">
        <v>5.7</v>
      </c>
      <c r="N149" s="468">
        <v>11.89290782</v>
      </c>
      <c r="O149" s="468">
        <v>11.95021916</v>
      </c>
      <c r="P149" s="468">
        <v>11.90094212</v>
      </c>
      <c r="Q149" s="468">
        <v>11.92558064</v>
      </c>
      <c r="R149" s="468">
        <v>11.92558064</v>
      </c>
      <c r="S149" s="468">
        <v>11.95021916</v>
      </c>
      <c r="T149" s="468">
        <v>11.90094212</v>
      </c>
      <c r="U149" s="468">
        <v>2.7118443599999997</v>
      </c>
      <c r="V149" s="468">
        <v>0</v>
      </c>
    </row>
    <row r="150" spans="2:22" outlineLevel="1">
      <c r="B150" s="236" t="s">
        <v>529</v>
      </c>
      <c r="C150" s="597">
        <f t="shared" si="8"/>
        <v>44403</v>
      </c>
      <c r="D150" s="597">
        <f t="shared" si="8"/>
        <v>51466</v>
      </c>
      <c r="E150" s="598" t="str">
        <f t="shared" si="8"/>
        <v>20 YR FIXED RATE DEBT: PAY 0.87200% EUR 40.0 M MAT: 26-NOV-2040</v>
      </c>
      <c r="F150" s="599" t="str">
        <f t="shared" si="8"/>
        <v>Fixed</v>
      </c>
      <c r="G150" s="600" t="str">
        <f t="shared" si="8"/>
        <v>Senior</v>
      </c>
      <c r="H150" s="599" t="str">
        <f t="shared" si="8"/>
        <v>N/A</v>
      </c>
      <c r="I150" s="601">
        <f t="shared" si="8"/>
        <v>8.7200000000000003E-3</v>
      </c>
      <c r="J150" s="200"/>
      <c r="K150" s="201"/>
      <c r="L150" s="202"/>
      <c r="M150" s="468">
        <v>0.3</v>
      </c>
      <c r="N150" s="468">
        <v>0.33023319000000007</v>
      </c>
      <c r="O150" s="468">
        <v>0.33179729000000002</v>
      </c>
      <c r="P150" s="468">
        <v>0.33043148</v>
      </c>
      <c r="Q150" s="468">
        <v>0.33119252000000005</v>
      </c>
      <c r="R150" s="468">
        <v>0.33114042999999999</v>
      </c>
      <c r="S150" s="468">
        <v>0.33179729000000002</v>
      </c>
      <c r="T150" s="468">
        <v>0.33043148</v>
      </c>
      <c r="U150" s="468">
        <v>0.33119252000000005</v>
      </c>
      <c r="V150" s="468">
        <v>0.33114042999999999</v>
      </c>
    </row>
    <row r="151" spans="2:22" outlineLevel="1">
      <c r="B151" s="236" t="s">
        <v>530</v>
      </c>
      <c r="C151" s="597">
        <f t="shared" si="8"/>
        <v>44469</v>
      </c>
      <c r="D151" s="597">
        <f t="shared" si="8"/>
        <v>52870</v>
      </c>
      <c r="E151" s="598" t="str">
        <f t="shared" si="8"/>
        <v>23 YR FIXED RATE DEBT: PAY 2.92000% AUD 125.0 M MAT: 30-SEP-2044</v>
      </c>
      <c r="F151" s="599" t="str">
        <f t="shared" si="8"/>
        <v>Fixed</v>
      </c>
      <c r="G151" s="600" t="str">
        <f t="shared" si="8"/>
        <v>Senior</v>
      </c>
      <c r="H151" s="599" t="str">
        <f t="shared" si="8"/>
        <v>N/A</v>
      </c>
      <c r="I151" s="601">
        <f t="shared" si="8"/>
        <v>2.92E-2</v>
      </c>
      <c r="J151" s="200"/>
      <c r="K151" s="201"/>
      <c r="L151" s="202"/>
      <c r="M151" s="468">
        <v>1</v>
      </c>
      <c r="N151" s="468">
        <v>2.0757468800000001</v>
      </c>
      <c r="O151" s="468">
        <v>2.0815288999999999</v>
      </c>
      <c r="P151" s="468">
        <v>2.0815288999999999</v>
      </c>
      <c r="Q151" s="468">
        <v>2.0815288999999999</v>
      </c>
      <c r="R151" s="468">
        <v>2.0815288999999999</v>
      </c>
      <c r="S151" s="468">
        <v>2.0815288999999999</v>
      </c>
      <c r="T151" s="468">
        <v>2.0815288999999999</v>
      </c>
      <c r="U151" s="468">
        <v>2.0815288999999999</v>
      </c>
      <c r="V151" s="468">
        <v>2.0815288999999999</v>
      </c>
    </row>
    <row r="152" spans="2:22" outlineLevel="1">
      <c r="B152" s="236" t="s">
        <v>531</v>
      </c>
      <c r="C152" s="597">
        <f t="shared" si="8"/>
        <v>44455</v>
      </c>
      <c r="D152" s="597">
        <f t="shared" si="8"/>
        <v>51760</v>
      </c>
      <c r="E152" s="598" t="str">
        <f t="shared" si="8"/>
        <v>20 YR FIXED RATE DEBT: PAY 1.69000% GBP 50.0 M MAT: 16-SEP-2041</v>
      </c>
      <c r="F152" s="599" t="str">
        <f t="shared" si="8"/>
        <v>Fixed</v>
      </c>
      <c r="G152" s="600" t="str">
        <f t="shared" si="8"/>
        <v>Senior</v>
      </c>
      <c r="H152" s="599" t="str">
        <f t="shared" si="8"/>
        <v>N/A</v>
      </c>
      <c r="I152" s="601">
        <f t="shared" si="8"/>
        <v>1.6899999999999998E-2</v>
      </c>
      <c r="J152" s="200"/>
      <c r="K152" s="201"/>
      <c r="L152" s="202"/>
      <c r="M152" s="468">
        <v>0</v>
      </c>
      <c r="N152" s="468">
        <v>0.85190849999999996</v>
      </c>
      <c r="O152" s="468">
        <v>0.85564927000000002</v>
      </c>
      <c r="P152" s="468">
        <v>0.85253493000000002</v>
      </c>
      <c r="Q152" s="468">
        <v>0.85456253000000004</v>
      </c>
      <c r="R152" s="468">
        <v>0.85424891000000003</v>
      </c>
      <c r="S152" s="468">
        <v>0.85564927000000002</v>
      </c>
      <c r="T152" s="468">
        <v>0.85253493000000002</v>
      </c>
      <c r="U152" s="468">
        <v>0.85456253000000004</v>
      </c>
      <c r="V152" s="468">
        <v>0.85424891000000003</v>
      </c>
    </row>
    <row r="153" spans="2:22" outlineLevel="1">
      <c r="B153" s="236" t="s">
        <v>532</v>
      </c>
      <c r="C153" s="597">
        <f t="shared" si="8"/>
        <v>44642</v>
      </c>
      <c r="D153" s="597">
        <f t="shared" si="8"/>
        <v>51466</v>
      </c>
      <c r="E153" s="598" t="str">
        <f t="shared" si="8"/>
        <v>19 YR FIXED RATE DEBT: PAY 0.87200% EUR 100.0 M MAT: 26-NOV-2040</v>
      </c>
      <c r="F153" s="599" t="str">
        <f t="shared" si="8"/>
        <v>Fixed</v>
      </c>
      <c r="G153" s="600" t="str">
        <f t="shared" si="8"/>
        <v>Senior</v>
      </c>
      <c r="H153" s="599" t="str">
        <f t="shared" si="8"/>
        <v>N/A</v>
      </c>
      <c r="I153" s="601">
        <f t="shared" si="8"/>
        <v>8.7200000000000003E-3</v>
      </c>
      <c r="J153" s="200"/>
      <c r="K153" s="201"/>
      <c r="L153" s="202"/>
      <c r="M153" s="468">
        <v>0</v>
      </c>
      <c r="N153" s="468">
        <v>1.7983539100000001</v>
      </c>
      <c r="O153" s="468">
        <v>1.8069518900000001</v>
      </c>
      <c r="P153" s="468">
        <v>1.79950677</v>
      </c>
      <c r="Q153" s="468">
        <v>1.8034246599999999</v>
      </c>
      <c r="R153" s="468">
        <v>1.8032944399999999</v>
      </c>
      <c r="S153" s="468">
        <v>1.8069518900000001</v>
      </c>
      <c r="T153" s="468">
        <v>1.79950677</v>
      </c>
      <c r="U153" s="468">
        <v>1.8034246599999999</v>
      </c>
      <c r="V153" s="468">
        <v>1.8032944399999999</v>
      </c>
    </row>
    <row r="154" spans="2:22" outlineLevel="1">
      <c r="B154" s="236"/>
      <c r="C154" s="597" t="str">
        <f t="shared" si="8"/>
        <v/>
      </c>
      <c r="D154" s="597" t="str">
        <f t="shared" si="8"/>
        <v/>
      </c>
      <c r="E154" s="598" t="str">
        <f t="shared" si="8"/>
        <v/>
      </c>
      <c r="F154" s="599" t="str">
        <f t="shared" si="8"/>
        <v/>
      </c>
      <c r="G154" s="600" t="str">
        <f t="shared" si="8"/>
        <v/>
      </c>
      <c r="H154" s="599" t="str">
        <f t="shared" si="8"/>
        <v/>
      </c>
      <c r="I154" s="601" t="str">
        <f t="shared" si="8"/>
        <v/>
      </c>
      <c r="J154" s="200"/>
      <c r="K154" s="201"/>
      <c r="L154" s="202"/>
      <c r="M154" s="468">
        <v>0</v>
      </c>
      <c r="N154" s="468">
        <v>0</v>
      </c>
      <c r="O154" s="468">
        <v>0</v>
      </c>
      <c r="P154" s="468">
        <v>0</v>
      </c>
      <c r="Q154" s="468">
        <v>0</v>
      </c>
      <c r="R154" s="468">
        <v>0</v>
      </c>
      <c r="S154" s="468">
        <v>0</v>
      </c>
      <c r="T154" s="468">
        <v>0</v>
      </c>
      <c r="U154" s="468">
        <v>0</v>
      </c>
      <c r="V154" s="468">
        <v>0</v>
      </c>
    </row>
    <row r="155" spans="2:22" outlineLevel="1">
      <c r="B155" s="236"/>
      <c r="C155" s="597" t="str">
        <f t="shared" si="8"/>
        <v/>
      </c>
      <c r="D155" s="597" t="str">
        <f t="shared" si="8"/>
        <v/>
      </c>
      <c r="E155" s="598" t="str">
        <f t="shared" si="8"/>
        <v/>
      </c>
      <c r="F155" s="599" t="str">
        <f t="shared" si="8"/>
        <v/>
      </c>
      <c r="G155" s="600" t="str">
        <f t="shared" si="8"/>
        <v/>
      </c>
      <c r="H155" s="599" t="str">
        <f t="shared" si="8"/>
        <v/>
      </c>
      <c r="I155" s="601" t="str">
        <f t="shared" si="8"/>
        <v/>
      </c>
      <c r="J155" s="200"/>
      <c r="K155" s="201"/>
      <c r="L155" s="202"/>
      <c r="M155" s="468">
        <v>0</v>
      </c>
      <c r="N155" s="468">
        <v>0</v>
      </c>
      <c r="O155" s="468">
        <v>0</v>
      </c>
      <c r="P155" s="468">
        <v>0</v>
      </c>
      <c r="Q155" s="468">
        <v>0</v>
      </c>
      <c r="R155" s="468">
        <v>0</v>
      </c>
      <c r="S155" s="468">
        <v>0</v>
      </c>
      <c r="T155" s="468">
        <v>0</v>
      </c>
      <c r="U155" s="468">
        <v>0</v>
      </c>
      <c r="V155" s="468">
        <v>0</v>
      </c>
    </row>
    <row r="156" spans="2:22" outlineLevel="1">
      <c r="B156" s="236"/>
      <c r="C156" s="597" t="str">
        <f t="shared" si="8"/>
        <v/>
      </c>
      <c r="D156" s="597" t="str">
        <f t="shared" si="8"/>
        <v/>
      </c>
      <c r="E156" s="598" t="str">
        <f t="shared" si="8"/>
        <v/>
      </c>
      <c r="F156" s="599" t="str">
        <f t="shared" si="8"/>
        <v/>
      </c>
      <c r="G156" s="600" t="str">
        <f t="shared" si="8"/>
        <v/>
      </c>
      <c r="H156" s="599" t="str">
        <f t="shared" si="8"/>
        <v/>
      </c>
      <c r="I156" s="601" t="str">
        <f t="shared" si="8"/>
        <v/>
      </c>
      <c r="J156" s="200"/>
      <c r="K156" s="201"/>
      <c r="L156" s="202"/>
      <c r="M156" s="468">
        <v>0</v>
      </c>
      <c r="N156" s="468">
        <v>0</v>
      </c>
      <c r="O156" s="468">
        <v>0</v>
      </c>
      <c r="P156" s="468">
        <v>0</v>
      </c>
      <c r="Q156" s="468">
        <v>0</v>
      </c>
      <c r="R156" s="468">
        <v>0</v>
      </c>
      <c r="S156" s="468">
        <v>0</v>
      </c>
      <c r="T156" s="468">
        <v>0</v>
      </c>
      <c r="U156" s="468">
        <v>0</v>
      </c>
      <c r="V156" s="468">
        <v>0</v>
      </c>
    </row>
    <row r="157" spans="2:22" outlineLevel="1">
      <c r="C157" s="150"/>
      <c r="D157" s="150"/>
      <c r="E157" s="150"/>
      <c r="F157" s="150"/>
      <c r="L157" s="981" t="s">
        <v>355</v>
      </c>
      <c r="M157" s="474">
        <f>SUM(M91:M156)</f>
        <v>144.79999999999998</v>
      </c>
      <c r="N157" s="475">
        <f t="shared" ref="N157:V157" si="9">SUM(N91:N156)</f>
        <v>160.04122143644997</v>
      </c>
      <c r="O157" s="475">
        <f t="shared" si="9"/>
        <v>160.97941055030466</v>
      </c>
      <c r="P157" s="475">
        <f t="shared" si="9"/>
        <v>153.50734001103442</v>
      </c>
      <c r="Q157" s="475">
        <f t="shared" si="9"/>
        <v>150.45483186027013</v>
      </c>
      <c r="R157" s="475">
        <f t="shared" si="9"/>
        <v>149.13928572647828</v>
      </c>
      <c r="S157" s="475">
        <f t="shared" si="9"/>
        <v>138.80622605147255</v>
      </c>
      <c r="T157" s="476">
        <f t="shared" si="9"/>
        <v>129.52205707411676</v>
      </c>
      <c r="U157" s="477">
        <f t="shared" si="9"/>
        <v>119.31454296924031</v>
      </c>
      <c r="V157" s="475">
        <f t="shared" si="9"/>
        <v>112.31265169030372</v>
      </c>
    </row>
    <row r="158" spans="2:22" outlineLevel="1">
      <c r="B158" s="153"/>
      <c r="C158" s="150"/>
      <c r="L158" s="166"/>
      <c r="U158" s="283"/>
    </row>
    <row r="159" spans="2:22" ht="17.5" outlineLevel="1">
      <c r="B159" s="153"/>
      <c r="C159" s="262" t="s">
        <v>535</v>
      </c>
      <c r="D159" s="263"/>
      <c r="E159" s="263"/>
      <c r="F159" s="263"/>
      <c r="G159" s="263"/>
      <c r="H159" s="263"/>
      <c r="I159" s="263"/>
      <c r="J159" s="263"/>
      <c r="K159" s="263"/>
      <c r="L159" s="305"/>
      <c r="M159" s="263"/>
      <c r="N159" s="263"/>
      <c r="O159" s="263"/>
      <c r="P159" s="263"/>
      <c r="Q159" s="263"/>
      <c r="R159" s="263"/>
      <c r="S159" s="263"/>
      <c r="T159" s="263"/>
      <c r="U159" s="282"/>
      <c r="V159" s="263"/>
    </row>
    <row r="160" spans="2:22" ht="17.5" outlineLevel="1">
      <c r="B160" s="153"/>
      <c r="C160" s="154"/>
      <c r="L160" s="166"/>
      <c r="U160" s="283"/>
    </row>
    <row r="161" spans="2:22" ht="17.5" outlineLevel="1">
      <c r="B161" s="153"/>
      <c r="C161" s="150"/>
      <c r="D161" s="265" t="s">
        <v>467</v>
      </c>
      <c r="E161" s="266"/>
      <c r="F161" s="266"/>
      <c r="G161" s="266"/>
      <c r="H161" s="266"/>
      <c r="I161" s="266"/>
      <c r="J161" s="266"/>
      <c r="K161" s="266"/>
      <c r="L161" s="304"/>
      <c r="M161" s="266"/>
      <c r="N161" s="266"/>
      <c r="O161" s="266"/>
      <c r="P161" s="266"/>
      <c r="Q161" s="266"/>
      <c r="R161" s="266"/>
      <c r="S161" s="266"/>
      <c r="T161" s="266"/>
      <c r="U161" s="284"/>
      <c r="V161" s="266"/>
    </row>
    <row r="162" spans="2:22" ht="17.5" outlineLevel="1">
      <c r="B162" s="153"/>
      <c r="C162" s="150"/>
      <c r="D162" s="154"/>
      <c r="L162" s="166"/>
      <c r="U162" s="283"/>
    </row>
    <row r="163" spans="2:22" ht="40.5" outlineLevel="1">
      <c r="B163" s="1181" t="s">
        <v>468</v>
      </c>
      <c r="C163" s="772" t="str">
        <f>IF('R6a - Net Debt input'!D95 = "","",'R6a - Net Debt input'!D95)</f>
        <v>Issue date</v>
      </c>
      <c r="D163" s="773" t="str">
        <f>IF('R6a - Net Debt input'!E95 = "","",'R6a - Net Debt input'!E95)</f>
        <v>Maturity date</v>
      </c>
      <c r="E163" s="773" t="str">
        <f>IF('R6a - Net Debt input'!F95 = "","",'R6a - Net Debt input'!F95)</f>
        <v>Description</v>
      </c>
      <c r="F163" s="773" t="str">
        <f>IF('R6a - Net Debt input'!G95 = "","",'R6a - Net Debt input'!G95)</f>
        <v>Loan type</v>
      </c>
      <c r="G163" s="773" t="str">
        <f>IF('R6a - Net Debt input'!H95 = "","",'R6a - Net Debt input'!H95)</f>
        <v>Payment rank</v>
      </c>
      <c r="H163" s="774" t="str">
        <f>IF('R6a - Net Debt input'!I95 = "","",'R6a - Net Debt input'!I95)</f>
        <v>Reference rate</v>
      </c>
      <c r="I163" s="775" t="str">
        <f>IF('R6a - Net Debt input'!J95 = "","",'R6a - Net Debt input'!J95)</f>
        <v>Interest rate / margin spread on reference rate</v>
      </c>
      <c r="L163" s="166"/>
      <c r="U163" s="283"/>
    </row>
    <row r="164" spans="2:22" outlineLevel="1">
      <c r="B164" s="982"/>
      <c r="C164" s="243" t="str">
        <f>IF('R6a - Net Debt input'!D96 = "","",'R6a - Net Debt input'!D96)</f>
        <v>dd/mm/yyyy</v>
      </c>
      <c r="D164" s="244" t="str">
        <f>IF('R6a - Net Debt input'!E96 = "","",'R6a - Net Debt input'!E96)</f>
        <v>dd/mm/yyyy</v>
      </c>
      <c r="E164" s="244" t="str">
        <f>IF('R6a - Net Debt input'!F96 = "","",'R6a - Net Debt input'!F96)</f>
        <v/>
      </c>
      <c r="F164" s="244" t="str">
        <f>IF('R6a - Net Debt input'!G96 = "","",'R6a - Net Debt input'!G96)</f>
        <v/>
      </c>
      <c r="G164" s="244" t="str">
        <f>IF('R6a - Net Debt input'!H96 = "","",'R6a - Net Debt input'!H96)</f>
        <v/>
      </c>
      <c r="H164" s="244" t="str">
        <f>IF('R6a - Net Debt input'!I96 = "","",'R6a - Net Debt input'!I96)</f>
        <v/>
      </c>
      <c r="I164" s="245" t="str">
        <f>IF('R6a - Net Debt input'!J96 = "","",'R6a - Net Debt input'!J96)</f>
        <v xml:space="preserve">% </v>
      </c>
      <c r="L164" s="166"/>
      <c r="M164" s="190" t="s">
        <v>469</v>
      </c>
      <c r="N164" s="191" t="s">
        <v>469</v>
      </c>
      <c r="O164" s="191" t="s">
        <v>469</v>
      </c>
      <c r="P164" s="191" t="s">
        <v>469</v>
      </c>
      <c r="Q164" s="191" t="s">
        <v>469</v>
      </c>
      <c r="R164" s="191" t="s">
        <v>469</v>
      </c>
      <c r="S164" s="191" t="s">
        <v>469</v>
      </c>
      <c r="T164" s="275" t="s">
        <v>469</v>
      </c>
      <c r="U164" s="286" t="s">
        <v>469</v>
      </c>
      <c r="V164" s="191" t="s">
        <v>469</v>
      </c>
    </row>
    <row r="165" spans="2:22" outlineLevel="1">
      <c r="B165" s="236" t="s">
        <v>536</v>
      </c>
      <c r="C165" s="203">
        <f>IF('R6a - Net Debt input'!D97 = "","",'R6a - Net Debt input'!D97)</f>
        <v>42692</v>
      </c>
      <c r="D165" s="203">
        <f>IF('R6a - Net Debt input'!E97 = "","",'R6a - Net Debt input'!E97)</f>
        <v>46344</v>
      </c>
      <c r="E165" s="208" t="str">
        <f>IF('R6a - Net Debt input'!F97 = "","",'R6a - Net Debt input'!F97)</f>
        <v>10 YR FIXED RATE DEBT: PAY 1.89700% GBP 300.0 M MAT: 18-NOV-2026</v>
      </c>
      <c r="F165" s="209" t="str">
        <f>IF('R6a - Net Debt input'!G97 = "","",'R6a - Net Debt input'!G97)</f>
        <v>Fixed</v>
      </c>
      <c r="G165" s="537" t="str">
        <f>IF('R6a - Net Debt input'!H97 = "","",'R6a - Net Debt input'!H97)</f>
        <v>Senior</v>
      </c>
      <c r="H165" s="209" t="str">
        <f>IF('R6a - Net Debt input'!I97 = "","",'R6a - Net Debt input'!I97)</f>
        <v>N/A</v>
      </c>
      <c r="I165" s="368">
        <f>IF('R6a - Net Debt input'!J97 = "","",'R6a - Net Debt input'!J97)</f>
        <v>1.8970000000000001E-2</v>
      </c>
      <c r="J165" s="200"/>
      <c r="K165" s="201"/>
      <c r="L165" s="202"/>
      <c r="M165" s="468">
        <v>5.8</v>
      </c>
      <c r="N165" s="468">
        <v>5.7650303899999997</v>
      </c>
      <c r="O165" s="468">
        <v>5.7857163600000003</v>
      </c>
      <c r="P165" s="468">
        <v>5.77577417</v>
      </c>
      <c r="Q165" s="468">
        <v>5.7815094699999996</v>
      </c>
      <c r="R165" s="468">
        <v>3.65704144</v>
      </c>
      <c r="S165" s="468">
        <v>0</v>
      </c>
      <c r="T165" s="468">
        <v>0</v>
      </c>
      <c r="U165" s="468">
        <v>0</v>
      </c>
      <c r="V165" s="468">
        <v>0</v>
      </c>
    </row>
    <row r="166" spans="2:22" outlineLevel="1">
      <c r="B166" s="237" t="s">
        <v>537</v>
      </c>
      <c r="C166" s="206">
        <f>IF('R6a - Net Debt input'!D98 = "","",'R6a - Net Debt input'!D98)</f>
        <v>42710</v>
      </c>
      <c r="D166" s="206">
        <f>IF('R6a - Net Debt input'!E98 = "","",'R6a - Net Debt input'!E98)</f>
        <v>46362</v>
      </c>
      <c r="E166" s="210" t="str">
        <f>IF('R6a - Net Debt input'!F98 = "","",'R6a - Net Debt input'!F98)</f>
        <v>10 YR FLOATING RATE DEBT: PAY 6M Libor +70 bp GBP 300.0 M MAT: 06-DEC-2026</v>
      </c>
      <c r="F166" s="211" t="str">
        <f>IF('R6a - Net Debt input'!G98 = "","",'R6a - Net Debt input'!G98)</f>
        <v>Floating</v>
      </c>
      <c r="G166" s="538" t="str">
        <f>IF('R6a - Net Debt input'!H98 = "","",'R6a - Net Debt input'!H98)</f>
        <v>Senior</v>
      </c>
      <c r="H166" s="211" t="str">
        <f>IF('R6a - Net Debt input'!I98 = "","",'R6a - Net Debt input'!I98)</f>
        <v>LIBOR 6 month</v>
      </c>
      <c r="I166" s="369">
        <f>IF('R6a - Net Debt input'!J98 = "","",'R6a - Net Debt input'!J98)</f>
        <v>6.9800000000000001E-3</v>
      </c>
      <c r="J166" s="200"/>
      <c r="K166" s="201"/>
      <c r="L166" s="202"/>
      <c r="M166" s="468">
        <v>2.6</v>
      </c>
      <c r="N166" s="468">
        <v>6.6098112999999996</v>
      </c>
      <c r="O166" s="468">
        <v>10.521468779999999</v>
      </c>
      <c r="P166" s="468">
        <v>9.5043029200000007</v>
      </c>
      <c r="Q166" s="468">
        <v>8.4386192399999995</v>
      </c>
      <c r="R166" s="468">
        <v>5.5679535300000005</v>
      </c>
      <c r="S166" s="468">
        <v>0</v>
      </c>
      <c r="T166" s="468">
        <v>0</v>
      </c>
      <c r="U166" s="468">
        <v>0</v>
      </c>
      <c r="V166" s="468">
        <v>0</v>
      </c>
    </row>
    <row r="167" spans="2:22" outlineLevel="1">
      <c r="B167" s="236" t="s">
        <v>538</v>
      </c>
      <c r="C167" s="206">
        <f>IF('R6a - Net Debt input'!D99 = "","",'R6a - Net Debt input'!D99)</f>
        <v>41290</v>
      </c>
      <c r="D167" s="206">
        <f>IF('R6a - Net Debt input'!E99 = "","",'R6a - Net Debt input'!E99)</f>
        <v>44942</v>
      </c>
      <c r="E167" s="210" t="str">
        <f>IF('R6a - Net Debt input'!F99 = "","",'R6a - Net Debt input'!F99)</f>
        <v>10 YR FLOATING RATE DEBT: PAY 12M/1Y RPI 1.0000% REAL RATE GBP 100.0 M MAT: 16-JAN-2023</v>
      </c>
      <c r="F167" s="211" t="str">
        <f>IF('R6a - Net Debt input'!G99 = "","",'R6a - Net Debt input'!G99)</f>
        <v>RPI</v>
      </c>
      <c r="G167" s="538" t="str">
        <f>IF('R6a - Net Debt input'!H99 = "","",'R6a - Net Debt input'!H99)</f>
        <v>Senior</v>
      </c>
      <c r="H167" s="211" t="str">
        <f>IF('R6a - Net Debt input'!I99 = "","",'R6a - Net Debt input'!I99)</f>
        <v>RPI 12 month</v>
      </c>
      <c r="I167" s="369">
        <f>IF('R6a - Net Debt input'!J99 = "","",'R6a - Net Debt input'!J99)</f>
        <v>0.01</v>
      </c>
      <c r="J167" s="200"/>
      <c r="K167" s="201"/>
      <c r="L167" s="202"/>
      <c r="M167" s="468">
        <v>12</v>
      </c>
      <c r="N167" s="468">
        <v>0</v>
      </c>
      <c r="O167" s="468">
        <v>0</v>
      </c>
      <c r="P167" s="468">
        <v>0</v>
      </c>
      <c r="Q167" s="468">
        <v>0</v>
      </c>
      <c r="R167" s="468">
        <v>0</v>
      </c>
      <c r="S167" s="468">
        <v>0</v>
      </c>
      <c r="T167" s="468">
        <v>0</v>
      </c>
      <c r="U167" s="468">
        <v>0</v>
      </c>
      <c r="V167" s="468">
        <v>0</v>
      </c>
    </row>
    <row r="168" spans="2:22" outlineLevel="1">
      <c r="B168" s="237" t="s">
        <v>539</v>
      </c>
      <c r="C168" s="206">
        <f>IF('R6a - Net Debt input'!D100 = "","",'R6a - Net Debt input'!D100)</f>
        <v>42207</v>
      </c>
      <c r="D168" s="206">
        <f>IF('R6a - Net Debt input'!E100 = "","",'R6a - Net Debt input'!E100)</f>
        <v>48782</v>
      </c>
      <c r="E168" s="210" t="str">
        <f>IF('R6a - Net Debt input'!F100 = "","",'R6a - Net Debt input'!F100)</f>
        <v>18 YR FLOATING RATE DEBT: PAY 12M/1Y RPI GBP 150.0 M MAT: 22-JUL-2033</v>
      </c>
      <c r="F168" s="211" t="str">
        <f>IF('R6a - Net Debt input'!G100 = "","",'R6a - Net Debt input'!G100)</f>
        <v>RPI</v>
      </c>
      <c r="G168" s="538" t="str">
        <f>IF('R6a - Net Debt input'!H100 = "","",'R6a - Net Debt input'!H100)</f>
        <v>Senior</v>
      </c>
      <c r="H168" s="211" t="str">
        <f>IF('R6a - Net Debt input'!I100 = "","",'R6a - Net Debt input'!I100)</f>
        <v>RPI 12 month</v>
      </c>
      <c r="I168" s="369">
        <f>IF('R6a - Net Debt input'!J100 = "","",'R6a - Net Debt input'!J100)</f>
        <v>0</v>
      </c>
      <c r="J168" s="200"/>
      <c r="K168" s="201"/>
      <c r="L168" s="202"/>
      <c r="M168" s="468">
        <v>11</v>
      </c>
      <c r="N168" s="468">
        <v>10.8</v>
      </c>
      <c r="O168" s="468">
        <v>6.1</v>
      </c>
      <c r="P168" s="468">
        <v>3.1</v>
      </c>
      <c r="Q168" s="468">
        <v>3</v>
      </c>
      <c r="R168" s="468">
        <v>7.8</v>
      </c>
      <c r="S168" s="468">
        <v>3</v>
      </c>
      <c r="T168" s="468">
        <v>2.6</v>
      </c>
      <c r="U168" s="468">
        <v>2.2999999999999998</v>
      </c>
      <c r="V168" s="468">
        <v>1.9</v>
      </c>
    </row>
    <row r="169" spans="2:22" outlineLevel="1">
      <c r="B169" s="236" t="s">
        <v>540</v>
      </c>
      <c r="C169" s="206">
        <f>IF('R6a - Net Debt input'!D101 = "","",'R6a - Net Debt input'!D101)</f>
        <v>42220</v>
      </c>
      <c r="D169" s="206">
        <f>IF('R6a - Net Debt input'!E101 = "","",'R6a - Net Debt input'!E101)</f>
        <v>48795</v>
      </c>
      <c r="E169" s="210" t="str">
        <f>IF('R6a - Net Debt input'!F101 = "","",'R6a - Net Debt input'!F101)</f>
        <v>18 YR FLOATING RATE DEBT: PAY 12M/1Y RPI GBP 150.0 M MAT: 04-AUG-2033</v>
      </c>
      <c r="F169" s="211" t="str">
        <f>IF('R6a - Net Debt input'!G101 = "","",'R6a - Net Debt input'!G101)</f>
        <v>RPI</v>
      </c>
      <c r="G169" s="538" t="str">
        <f>IF('R6a - Net Debt input'!H101 = "","",'R6a - Net Debt input'!H101)</f>
        <v>Senior</v>
      </c>
      <c r="H169" s="211" t="str">
        <f>IF('R6a - Net Debt input'!I101 = "","",'R6a - Net Debt input'!I101)</f>
        <v>RPI 12 month</v>
      </c>
      <c r="I169" s="369">
        <f>IF('R6a - Net Debt input'!J101 = "","",'R6a - Net Debt input'!J101)</f>
        <v>0</v>
      </c>
      <c r="J169" s="200"/>
      <c r="K169" s="201"/>
      <c r="L169" s="202"/>
      <c r="M169" s="468">
        <v>10.9</v>
      </c>
      <c r="N169" s="468">
        <v>10.8</v>
      </c>
      <c r="O169" s="468">
        <v>6.1</v>
      </c>
      <c r="P169" s="468">
        <v>3.1</v>
      </c>
      <c r="Q169" s="468">
        <v>3</v>
      </c>
      <c r="R169" s="468">
        <v>7.8</v>
      </c>
      <c r="S169" s="468">
        <v>3</v>
      </c>
      <c r="T169" s="468">
        <v>2.6</v>
      </c>
      <c r="U169" s="468">
        <v>2.2999999999999998</v>
      </c>
      <c r="V169" s="468">
        <v>1.9</v>
      </c>
    </row>
    <row r="170" spans="2:22" outlineLevel="1">
      <c r="B170" s="237" t="s">
        <v>541</v>
      </c>
      <c r="C170" s="206">
        <f>IF('R6a - Net Debt input'!D102 = "","",'R6a - Net Debt input'!D102)</f>
        <v>42360</v>
      </c>
      <c r="D170" s="206">
        <f>IF('R6a - Net Debt input'!E102 = "","",'R6a - Net Debt input'!E102)</f>
        <v>48935</v>
      </c>
      <c r="E170" s="210" t="str">
        <f>IF('R6a - Net Debt input'!F102 = "","",'R6a - Net Debt input'!F102)</f>
        <v>18 YR FLOATING RATE DEBT: PAY 12M/1Y RPI GBP 300.0 M MAT: 22-DEC-2033</v>
      </c>
      <c r="F170" s="211" t="str">
        <f>IF('R6a - Net Debt input'!G102 = "","",'R6a - Net Debt input'!G102)</f>
        <v>RPI</v>
      </c>
      <c r="G170" s="538" t="str">
        <f>IF('R6a - Net Debt input'!H102 = "","",'R6a - Net Debt input'!H102)</f>
        <v>Senior</v>
      </c>
      <c r="H170" s="211" t="str">
        <f>IF('R6a - Net Debt input'!I102 = "","",'R6a - Net Debt input'!I102)</f>
        <v>RPI 12 month</v>
      </c>
      <c r="I170" s="369">
        <f>IF('R6a - Net Debt input'!J102 = "","",'R6a - Net Debt input'!J102)</f>
        <v>0</v>
      </c>
      <c r="J170" s="200"/>
      <c r="K170" s="201"/>
      <c r="L170" s="202"/>
      <c r="M170" s="468">
        <v>22.1</v>
      </c>
      <c r="N170" s="468">
        <v>22.4</v>
      </c>
      <c r="O170" s="468">
        <v>12.7</v>
      </c>
      <c r="P170" s="468">
        <v>6.5</v>
      </c>
      <c r="Q170" s="468">
        <v>6.3</v>
      </c>
      <c r="R170" s="468">
        <v>16.7</v>
      </c>
      <c r="S170" s="468">
        <v>6.4</v>
      </c>
      <c r="T170" s="468">
        <v>5.8</v>
      </c>
      <c r="U170" s="468">
        <v>5.0999999999999996</v>
      </c>
      <c r="V170" s="468">
        <v>4.3</v>
      </c>
    </row>
    <row r="171" spans="2:22" outlineLevel="1">
      <c r="B171" s="236" t="s">
        <v>542</v>
      </c>
      <c r="C171" s="206">
        <f>IF('R6a - Net Debt input'!D103 = "","",'R6a - Net Debt input'!D103)</f>
        <v>42543</v>
      </c>
      <c r="D171" s="206">
        <f>IF('R6a - Net Debt input'!E103 = "","",'R6a - Net Debt input'!E103)</f>
        <v>49117</v>
      </c>
      <c r="E171" s="210" t="str">
        <f>IF('R6a - Net Debt input'!F103 = "","",'R6a - Net Debt input'!F103)</f>
        <v>18 YR FLOATING RATE DEBT: PAY 12M/1Y RPI GBP 300.0 M MAT: 22-JUN-2034</v>
      </c>
      <c r="F171" s="211" t="str">
        <f>IF('R6a - Net Debt input'!G103 = "","",'R6a - Net Debt input'!G103)</f>
        <v>RPI</v>
      </c>
      <c r="G171" s="538" t="str">
        <f>IF('R6a - Net Debt input'!H103 = "","",'R6a - Net Debt input'!H103)</f>
        <v>Senior</v>
      </c>
      <c r="H171" s="211" t="str">
        <f>IF('R6a - Net Debt input'!I103 = "","",'R6a - Net Debt input'!I103)</f>
        <v>RPI 12 month</v>
      </c>
      <c r="I171" s="369">
        <f>IF('R6a - Net Debt input'!J103 = "","",'R6a - Net Debt input'!J103)</f>
        <v>0</v>
      </c>
      <c r="J171" s="200"/>
      <c r="K171" s="201"/>
      <c r="L171" s="202"/>
      <c r="M171" s="468">
        <v>22.9</v>
      </c>
      <c r="N171" s="468">
        <v>23.2</v>
      </c>
      <c r="O171" s="468">
        <v>13.2</v>
      </c>
      <c r="P171" s="468">
        <v>6.8</v>
      </c>
      <c r="Q171" s="468">
        <v>6.6</v>
      </c>
      <c r="R171" s="468">
        <v>17.600000000000001</v>
      </c>
      <c r="S171" s="468">
        <v>6.8</v>
      </c>
      <c r="T171" s="468">
        <v>6.2</v>
      </c>
      <c r="U171" s="468">
        <v>5.5</v>
      </c>
      <c r="V171" s="468">
        <v>4.7</v>
      </c>
    </row>
    <row r="172" spans="2:22" outlineLevel="1">
      <c r="B172" s="237" t="s">
        <v>543</v>
      </c>
      <c r="C172" s="206">
        <f>IF('R6a - Net Debt input'!D104 = "","",'R6a - Net Debt input'!D104)</f>
        <v>0</v>
      </c>
      <c r="D172" s="206">
        <f>IF('R6a - Net Debt input'!E104 = "","",'R6a - Net Debt input'!E104)</f>
        <v>0</v>
      </c>
      <c r="E172" s="210" t="str">
        <f>IF('R6a - Net Debt input'!F104 = "","",'R6a - Net Debt input'!F104)</f>
        <v>IFRS 16 Right of Use Lease Liability</v>
      </c>
      <c r="F172" s="211">
        <f>IF('R6a - Net Debt input'!G104 = "","",'R6a - Net Debt input'!G104)</f>
        <v>0</v>
      </c>
      <c r="G172" s="538">
        <f>IF('R6a - Net Debt input'!H104 = "","",'R6a - Net Debt input'!H104)</f>
        <v>0</v>
      </c>
      <c r="H172" s="211">
        <f>IF('R6a - Net Debt input'!I104 = "","",'R6a - Net Debt input'!I104)</f>
        <v>0</v>
      </c>
      <c r="I172" s="369">
        <f>IF('R6a - Net Debt input'!J104 = "","",'R6a - Net Debt input'!J104)</f>
        <v>0</v>
      </c>
      <c r="J172" s="200"/>
      <c r="K172" s="201"/>
      <c r="L172" s="202"/>
      <c r="M172" s="468">
        <v>0.7</v>
      </c>
      <c r="N172" s="468">
        <v>0.7</v>
      </c>
      <c r="O172" s="468">
        <v>0.7</v>
      </c>
      <c r="P172" s="468">
        <v>0.7</v>
      </c>
      <c r="Q172" s="468">
        <v>0.7</v>
      </c>
      <c r="R172" s="468">
        <v>0.7</v>
      </c>
      <c r="S172" s="468">
        <v>0.7</v>
      </c>
      <c r="T172" s="468">
        <v>0.7</v>
      </c>
      <c r="U172" s="468">
        <v>0.7</v>
      </c>
      <c r="V172" s="468">
        <v>0.7</v>
      </c>
    </row>
    <row r="173" spans="2:22" outlineLevel="1">
      <c r="B173" s="236" t="s">
        <v>544</v>
      </c>
      <c r="C173" s="206" t="str">
        <f>IF('R6a - Net Debt input'!D105 = "","",'R6a - Net Debt input'!D105)</f>
        <v/>
      </c>
      <c r="D173" s="206" t="str">
        <f>IF('R6a - Net Debt input'!E105 = "","",'R6a - Net Debt input'!E105)</f>
        <v/>
      </c>
      <c r="E173" s="210" t="str">
        <f>IF('R6a - Net Debt input'!F105 = "","",'R6a - Net Debt input'!F105)</f>
        <v/>
      </c>
      <c r="F173" s="211" t="str">
        <f>IF('R6a - Net Debt input'!G105 = "","",'R6a - Net Debt input'!G105)</f>
        <v/>
      </c>
      <c r="G173" s="538" t="str">
        <f>IF('R6a - Net Debt input'!H105 = "","",'R6a - Net Debt input'!H105)</f>
        <v/>
      </c>
      <c r="H173" s="211" t="str">
        <f>IF('R6a - Net Debt input'!I105 = "","",'R6a - Net Debt input'!I105)</f>
        <v/>
      </c>
      <c r="I173" s="369" t="str">
        <f>IF('R6a - Net Debt input'!J105 = "","",'R6a - Net Debt input'!J105)</f>
        <v/>
      </c>
      <c r="J173" s="200"/>
      <c r="K173" s="201"/>
      <c r="L173" s="202"/>
      <c r="M173" s="468">
        <v>0</v>
      </c>
      <c r="N173" s="468">
        <v>0</v>
      </c>
      <c r="O173" s="468">
        <v>0</v>
      </c>
      <c r="P173" s="468">
        <v>0</v>
      </c>
      <c r="Q173" s="468">
        <v>0</v>
      </c>
      <c r="R173" s="468">
        <v>0</v>
      </c>
      <c r="S173" s="468">
        <v>0</v>
      </c>
      <c r="T173" s="468">
        <v>0</v>
      </c>
      <c r="U173" s="468">
        <v>0</v>
      </c>
      <c r="V173" s="468">
        <v>0</v>
      </c>
    </row>
    <row r="174" spans="2:22" outlineLevel="1">
      <c r="B174" s="237" t="s">
        <v>545</v>
      </c>
      <c r="C174" s="206" t="str">
        <f>IF('R6a - Net Debt input'!D106 = "","",'R6a - Net Debt input'!D106)</f>
        <v/>
      </c>
      <c r="D174" s="206" t="str">
        <f>IF('R6a - Net Debt input'!E106 = "","",'R6a - Net Debt input'!E106)</f>
        <v/>
      </c>
      <c r="E174" s="210" t="str">
        <f>IF('R6a - Net Debt input'!F106 = "","",'R6a - Net Debt input'!F106)</f>
        <v/>
      </c>
      <c r="F174" s="211" t="str">
        <f>IF('R6a - Net Debt input'!G106 = "","",'R6a - Net Debt input'!G106)</f>
        <v/>
      </c>
      <c r="G174" s="538" t="str">
        <f>IF('R6a - Net Debt input'!H106 = "","",'R6a - Net Debt input'!H106)</f>
        <v/>
      </c>
      <c r="H174" s="211" t="str">
        <f>IF('R6a - Net Debt input'!I106 = "","",'R6a - Net Debt input'!I106)</f>
        <v/>
      </c>
      <c r="I174" s="369" t="str">
        <f>IF('R6a - Net Debt input'!J106 = "","",'R6a - Net Debt input'!J106)</f>
        <v/>
      </c>
      <c r="J174" s="200"/>
      <c r="K174" s="201"/>
      <c r="L174" s="202"/>
      <c r="M174" s="468">
        <v>0</v>
      </c>
      <c r="N174" s="468">
        <v>0</v>
      </c>
      <c r="O174" s="468">
        <v>0</v>
      </c>
      <c r="P174" s="468">
        <v>0</v>
      </c>
      <c r="Q174" s="468">
        <v>0</v>
      </c>
      <c r="R174" s="468">
        <v>0</v>
      </c>
      <c r="S174" s="468">
        <v>0</v>
      </c>
      <c r="T174" s="468">
        <v>0</v>
      </c>
      <c r="U174" s="468">
        <v>0</v>
      </c>
      <c r="V174" s="468">
        <v>0</v>
      </c>
    </row>
    <row r="175" spans="2:22" outlineLevel="1">
      <c r="B175" s="236" t="s">
        <v>546</v>
      </c>
      <c r="C175" s="206" t="str">
        <f>IF('R6a - Net Debt input'!D107 = "","",'R6a - Net Debt input'!D107)</f>
        <v/>
      </c>
      <c r="D175" s="206" t="str">
        <f>IF('R6a - Net Debt input'!E107 = "","",'R6a - Net Debt input'!E107)</f>
        <v/>
      </c>
      <c r="E175" s="210" t="str">
        <f>IF('R6a - Net Debt input'!F107 = "","",'R6a - Net Debt input'!F107)</f>
        <v/>
      </c>
      <c r="F175" s="211" t="str">
        <f>IF('R6a - Net Debt input'!G107 = "","",'R6a - Net Debt input'!G107)</f>
        <v/>
      </c>
      <c r="G175" s="538" t="str">
        <f>IF('R6a - Net Debt input'!H107 = "","",'R6a - Net Debt input'!H107)</f>
        <v/>
      </c>
      <c r="H175" s="211" t="str">
        <f>IF('R6a - Net Debt input'!I107 = "","",'R6a - Net Debt input'!I107)</f>
        <v/>
      </c>
      <c r="I175" s="369" t="str">
        <f>IF('R6a - Net Debt input'!J107 = "","",'R6a - Net Debt input'!J107)</f>
        <v/>
      </c>
      <c r="J175" s="200"/>
      <c r="K175" s="201"/>
      <c r="L175" s="202"/>
      <c r="M175" s="468">
        <v>0</v>
      </c>
      <c r="N175" s="468">
        <v>0</v>
      </c>
      <c r="O175" s="468">
        <v>0</v>
      </c>
      <c r="P175" s="468">
        <v>0</v>
      </c>
      <c r="Q175" s="468">
        <v>0</v>
      </c>
      <c r="R175" s="468">
        <v>0</v>
      </c>
      <c r="S175" s="468">
        <v>0</v>
      </c>
      <c r="T175" s="468">
        <v>0</v>
      </c>
      <c r="U175" s="468">
        <v>0</v>
      </c>
      <c r="V175" s="468">
        <v>0</v>
      </c>
    </row>
    <row r="176" spans="2:22" outlineLevel="1">
      <c r="B176" s="237" t="s">
        <v>547</v>
      </c>
      <c r="C176" s="206" t="str">
        <f>IF('R6a - Net Debt input'!D108 = "","",'R6a - Net Debt input'!D108)</f>
        <v/>
      </c>
      <c r="D176" s="206" t="str">
        <f>IF('R6a - Net Debt input'!E108 = "","",'R6a - Net Debt input'!E108)</f>
        <v/>
      </c>
      <c r="E176" s="210" t="str">
        <f>IF('R6a - Net Debt input'!F108 = "","",'R6a - Net Debt input'!F108)</f>
        <v/>
      </c>
      <c r="F176" s="211" t="str">
        <f>IF('R6a - Net Debt input'!G108 = "","",'R6a - Net Debt input'!G108)</f>
        <v/>
      </c>
      <c r="G176" s="538" t="str">
        <f>IF('R6a - Net Debt input'!H108 = "","",'R6a - Net Debt input'!H108)</f>
        <v/>
      </c>
      <c r="H176" s="211" t="str">
        <f>IF('R6a - Net Debt input'!I108 = "","",'R6a - Net Debt input'!I108)</f>
        <v/>
      </c>
      <c r="I176" s="369" t="str">
        <f>IF('R6a - Net Debt input'!J108 = "","",'R6a - Net Debt input'!J108)</f>
        <v/>
      </c>
      <c r="J176" s="200"/>
      <c r="K176" s="201"/>
      <c r="L176" s="202"/>
      <c r="M176" s="468">
        <v>0</v>
      </c>
      <c r="N176" s="468">
        <v>0</v>
      </c>
      <c r="O176" s="468">
        <v>0</v>
      </c>
      <c r="P176" s="468">
        <v>0</v>
      </c>
      <c r="Q176" s="468">
        <v>0</v>
      </c>
      <c r="R176" s="468">
        <v>0</v>
      </c>
      <c r="S176" s="468">
        <v>0</v>
      </c>
      <c r="T176" s="468">
        <v>0</v>
      </c>
      <c r="U176" s="468">
        <v>0</v>
      </c>
      <c r="V176" s="468">
        <v>0</v>
      </c>
    </row>
    <row r="177" spans="2:22" outlineLevel="1">
      <c r="B177" s="236" t="s">
        <v>548</v>
      </c>
      <c r="C177" s="206" t="str">
        <f>IF('R6a - Net Debt input'!D109 = "","",'R6a - Net Debt input'!D109)</f>
        <v/>
      </c>
      <c r="D177" s="206" t="str">
        <f>IF('R6a - Net Debt input'!E109 = "","",'R6a - Net Debt input'!E109)</f>
        <v/>
      </c>
      <c r="E177" s="210" t="str">
        <f>IF('R6a - Net Debt input'!F109 = "","",'R6a - Net Debt input'!F109)</f>
        <v/>
      </c>
      <c r="F177" s="211" t="str">
        <f>IF('R6a - Net Debt input'!G109 = "","",'R6a - Net Debt input'!G109)</f>
        <v/>
      </c>
      <c r="G177" s="538" t="str">
        <f>IF('R6a - Net Debt input'!H109 = "","",'R6a - Net Debt input'!H109)</f>
        <v/>
      </c>
      <c r="H177" s="211" t="str">
        <f>IF('R6a - Net Debt input'!I109 = "","",'R6a - Net Debt input'!I109)</f>
        <v/>
      </c>
      <c r="I177" s="369" t="str">
        <f>IF('R6a - Net Debt input'!J109 = "","",'R6a - Net Debt input'!J109)</f>
        <v/>
      </c>
      <c r="J177" s="200"/>
      <c r="K177" s="201"/>
      <c r="L177" s="202"/>
      <c r="M177" s="468">
        <v>0</v>
      </c>
      <c r="N177" s="468">
        <v>0</v>
      </c>
      <c r="O177" s="468">
        <v>0</v>
      </c>
      <c r="P177" s="468">
        <v>0</v>
      </c>
      <c r="Q177" s="468">
        <v>0</v>
      </c>
      <c r="R177" s="468">
        <v>0</v>
      </c>
      <c r="S177" s="468">
        <v>0</v>
      </c>
      <c r="T177" s="468">
        <v>0</v>
      </c>
      <c r="U177" s="468">
        <v>0</v>
      </c>
      <c r="V177" s="468">
        <v>0</v>
      </c>
    </row>
    <row r="178" spans="2:22" outlineLevel="1">
      <c r="B178" s="237" t="s">
        <v>549</v>
      </c>
      <c r="C178" s="206" t="str">
        <f>IF('R6a - Net Debt input'!D110 = "","",'R6a - Net Debt input'!D110)</f>
        <v/>
      </c>
      <c r="D178" s="206" t="str">
        <f>IF('R6a - Net Debt input'!E110 = "","",'R6a - Net Debt input'!E110)</f>
        <v/>
      </c>
      <c r="E178" s="210" t="str">
        <f>IF('R6a - Net Debt input'!F110 = "","",'R6a - Net Debt input'!F110)</f>
        <v/>
      </c>
      <c r="F178" s="211" t="str">
        <f>IF('R6a - Net Debt input'!G110 = "","",'R6a - Net Debt input'!G110)</f>
        <v/>
      </c>
      <c r="G178" s="538" t="str">
        <f>IF('R6a - Net Debt input'!H110 = "","",'R6a - Net Debt input'!H110)</f>
        <v/>
      </c>
      <c r="H178" s="211" t="str">
        <f>IF('R6a - Net Debt input'!I110 = "","",'R6a - Net Debt input'!I110)</f>
        <v/>
      </c>
      <c r="I178" s="369" t="str">
        <f>IF('R6a - Net Debt input'!J110 = "","",'R6a - Net Debt input'!J110)</f>
        <v/>
      </c>
      <c r="J178" s="200"/>
      <c r="K178" s="201"/>
      <c r="L178" s="202"/>
      <c r="M178" s="468">
        <v>0</v>
      </c>
      <c r="N178" s="468">
        <v>0</v>
      </c>
      <c r="O178" s="468">
        <v>0</v>
      </c>
      <c r="P178" s="468">
        <v>0</v>
      </c>
      <c r="Q178" s="468">
        <v>0</v>
      </c>
      <c r="R178" s="468">
        <v>0</v>
      </c>
      <c r="S178" s="468">
        <v>0</v>
      </c>
      <c r="T178" s="468">
        <v>0</v>
      </c>
      <c r="U178" s="468">
        <v>0</v>
      </c>
      <c r="V178" s="468">
        <v>0</v>
      </c>
    </row>
    <row r="179" spans="2:22" outlineLevel="1">
      <c r="B179" s="236" t="s">
        <v>550</v>
      </c>
      <c r="C179" s="206" t="str">
        <f>IF('R6a - Net Debt input'!D111 = "","",'R6a - Net Debt input'!D111)</f>
        <v/>
      </c>
      <c r="D179" s="206" t="str">
        <f>IF('R6a - Net Debt input'!E111 = "","",'R6a - Net Debt input'!E111)</f>
        <v/>
      </c>
      <c r="E179" s="210" t="str">
        <f>IF('R6a - Net Debt input'!F111 = "","",'R6a - Net Debt input'!F111)</f>
        <v/>
      </c>
      <c r="F179" s="211" t="str">
        <f>IF('R6a - Net Debt input'!G111 = "","",'R6a - Net Debt input'!G111)</f>
        <v/>
      </c>
      <c r="G179" s="538" t="str">
        <f>IF('R6a - Net Debt input'!H111 = "","",'R6a - Net Debt input'!H111)</f>
        <v/>
      </c>
      <c r="H179" s="211" t="str">
        <f>IF('R6a - Net Debt input'!I111 = "","",'R6a - Net Debt input'!I111)</f>
        <v/>
      </c>
      <c r="I179" s="369" t="str">
        <f>IF('R6a - Net Debt input'!J111 = "","",'R6a - Net Debt input'!J111)</f>
        <v/>
      </c>
      <c r="J179" s="200"/>
      <c r="K179" s="201"/>
      <c r="L179" s="202"/>
      <c r="M179" s="468">
        <v>0</v>
      </c>
      <c r="N179" s="468">
        <v>0</v>
      </c>
      <c r="O179" s="468">
        <v>0</v>
      </c>
      <c r="P179" s="468">
        <v>0</v>
      </c>
      <c r="Q179" s="468">
        <v>0</v>
      </c>
      <c r="R179" s="468">
        <v>0</v>
      </c>
      <c r="S179" s="468">
        <v>0</v>
      </c>
      <c r="T179" s="468">
        <v>0</v>
      </c>
      <c r="U179" s="468">
        <v>0</v>
      </c>
      <c r="V179" s="468">
        <v>0</v>
      </c>
    </row>
    <row r="180" spans="2:22" outlineLevel="1">
      <c r="C180" s="150"/>
      <c r="D180" s="150"/>
      <c r="E180" s="150"/>
      <c r="F180" s="150"/>
      <c r="L180" s="981" t="s">
        <v>355</v>
      </c>
      <c r="M180" s="474">
        <f t="shared" ref="M180:V180" si="10">SUM(M165:M179)</f>
        <v>88.000000000000014</v>
      </c>
      <c r="N180" s="475">
        <f t="shared" si="10"/>
        <v>80.274841690000002</v>
      </c>
      <c r="O180" s="475">
        <f t="shared" si="10"/>
        <v>55.107185140000013</v>
      </c>
      <c r="P180" s="475">
        <f t="shared" si="10"/>
        <v>35.480077090000002</v>
      </c>
      <c r="Q180" s="475">
        <f t="shared" si="10"/>
        <v>33.820128709999999</v>
      </c>
      <c r="R180" s="475">
        <f t="shared" si="10"/>
        <v>59.824994970000006</v>
      </c>
      <c r="S180" s="475">
        <f t="shared" si="10"/>
        <v>19.899999999999999</v>
      </c>
      <c r="T180" s="476">
        <f t="shared" si="10"/>
        <v>17.899999999999999</v>
      </c>
      <c r="U180" s="477">
        <f t="shared" si="10"/>
        <v>15.899999999999999</v>
      </c>
      <c r="V180" s="475">
        <f t="shared" si="10"/>
        <v>13.5</v>
      </c>
    </row>
    <row r="181" spans="2:22" outlineLevel="1">
      <c r="C181" s="150"/>
      <c r="D181" s="155"/>
      <c r="E181" s="155"/>
      <c r="F181" s="155"/>
      <c r="L181" s="303"/>
      <c r="M181" s="155"/>
      <c r="N181" s="155"/>
      <c r="O181" s="155"/>
      <c r="P181" s="155"/>
      <c r="Q181" s="155"/>
      <c r="R181" s="155"/>
      <c r="S181" s="155"/>
      <c r="T181" s="155"/>
      <c r="U181" s="285"/>
      <c r="V181" s="155"/>
    </row>
    <row r="182" spans="2:22" ht="17.5" outlineLevel="1">
      <c r="D182" s="265" t="s">
        <v>533</v>
      </c>
      <c r="E182" s="266"/>
      <c r="F182" s="266"/>
      <c r="G182" s="266"/>
      <c r="H182" s="266"/>
      <c r="I182" s="266"/>
      <c r="J182" s="266"/>
      <c r="K182" s="266"/>
      <c r="L182" s="304"/>
      <c r="M182" s="266"/>
      <c r="N182" s="266"/>
      <c r="O182" s="266"/>
      <c r="P182" s="266"/>
      <c r="Q182" s="266"/>
      <c r="R182" s="266"/>
      <c r="S182" s="266"/>
      <c r="T182" s="266"/>
      <c r="U182" s="284"/>
      <c r="V182" s="266"/>
    </row>
    <row r="183" spans="2:22" ht="17.5" outlineLevel="1">
      <c r="D183" s="154"/>
      <c r="L183" s="166"/>
      <c r="U183" s="283"/>
    </row>
    <row r="184" spans="2:22" ht="40.5" outlineLevel="1">
      <c r="B184" s="1181" t="s">
        <v>468</v>
      </c>
      <c r="C184" s="772" t="str">
        <f t="shared" ref="C184:I186" si="11">C163</f>
        <v>Issue date</v>
      </c>
      <c r="D184" s="773" t="str">
        <f t="shared" si="11"/>
        <v>Maturity date</v>
      </c>
      <c r="E184" s="773" t="str">
        <f t="shared" si="11"/>
        <v>Description</v>
      </c>
      <c r="F184" s="773" t="str">
        <f t="shared" si="11"/>
        <v>Loan type</v>
      </c>
      <c r="G184" s="773" t="str">
        <f t="shared" si="11"/>
        <v>Payment rank</v>
      </c>
      <c r="H184" s="774" t="str">
        <f t="shared" si="11"/>
        <v>Reference rate</v>
      </c>
      <c r="I184" s="775" t="str">
        <f t="shared" si="11"/>
        <v>Interest rate / margin spread on reference rate</v>
      </c>
      <c r="L184" s="166"/>
      <c r="U184" s="283"/>
    </row>
    <row r="185" spans="2:22" outlineLevel="1">
      <c r="B185" s="564"/>
      <c r="C185" s="243" t="str">
        <f t="shared" si="11"/>
        <v>dd/mm/yyyy</v>
      </c>
      <c r="D185" s="244" t="str">
        <f t="shared" si="11"/>
        <v>dd/mm/yyyy</v>
      </c>
      <c r="E185" s="244" t="str">
        <f t="shared" si="11"/>
        <v/>
      </c>
      <c r="F185" s="244" t="str">
        <f t="shared" si="11"/>
        <v/>
      </c>
      <c r="G185" s="244" t="str">
        <f t="shared" si="11"/>
        <v/>
      </c>
      <c r="H185" s="244" t="str">
        <f t="shared" si="11"/>
        <v/>
      </c>
      <c r="I185" s="245" t="str">
        <f t="shared" si="11"/>
        <v xml:space="preserve">% </v>
      </c>
      <c r="L185" s="166"/>
      <c r="M185" s="190" t="s">
        <v>469</v>
      </c>
      <c r="N185" s="191" t="s">
        <v>469</v>
      </c>
      <c r="O185" s="191" t="s">
        <v>469</v>
      </c>
      <c r="P185" s="191" t="s">
        <v>469</v>
      </c>
      <c r="Q185" s="191" t="s">
        <v>469</v>
      </c>
      <c r="R185" s="191" t="s">
        <v>469</v>
      </c>
      <c r="S185" s="191" t="s">
        <v>469</v>
      </c>
      <c r="T185" s="275" t="s">
        <v>469</v>
      </c>
      <c r="U185" s="286" t="s">
        <v>469</v>
      </c>
      <c r="V185" s="191" t="s">
        <v>469</v>
      </c>
    </row>
    <row r="186" spans="2:22" outlineLevel="1">
      <c r="B186" s="236" t="s">
        <v>536</v>
      </c>
      <c r="C186" s="606">
        <f t="shared" si="11"/>
        <v>42692</v>
      </c>
      <c r="D186" s="597">
        <f t="shared" ref="D186:I186" si="12">D165</f>
        <v>46344</v>
      </c>
      <c r="E186" s="607" t="str">
        <f t="shared" si="12"/>
        <v>10 YR FIXED RATE DEBT: PAY 1.89700% GBP 300.0 M MAT: 18-NOV-2026</v>
      </c>
      <c r="F186" s="608" t="str">
        <f t="shared" si="12"/>
        <v>Fixed</v>
      </c>
      <c r="G186" s="609" t="str">
        <f t="shared" si="12"/>
        <v>Senior</v>
      </c>
      <c r="H186" s="608" t="str">
        <f t="shared" si="12"/>
        <v>N/A</v>
      </c>
      <c r="I186" s="601">
        <f t="shared" si="12"/>
        <v>1.8970000000000001E-2</v>
      </c>
      <c r="J186" s="200"/>
      <c r="K186" s="201"/>
      <c r="L186" s="202"/>
      <c r="M186" s="468">
        <v>5.7</v>
      </c>
      <c r="N186" s="468">
        <v>5.7</v>
      </c>
      <c r="O186" s="468">
        <v>5.7</v>
      </c>
      <c r="P186" s="468">
        <v>5.7</v>
      </c>
      <c r="Q186" s="468">
        <v>5.7</v>
      </c>
      <c r="R186" s="468">
        <v>3.6131147540983601</v>
      </c>
      <c r="S186" s="468">
        <v>0</v>
      </c>
      <c r="T186" s="468">
        <v>0</v>
      </c>
      <c r="U186" s="468">
        <v>0</v>
      </c>
      <c r="V186" s="468">
        <v>0</v>
      </c>
    </row>
    <row r="187" spans="2:22" outlineLevel="1">
      <c r="B187" s="237" t="s">
        <v>537</v>
      </c>
      <c r="C187" s="610">
        <f t="shared" ref="C187:I187" si="13">C166</f>
        <v>42710</v>
      </c>
      <c r="D187" s="610">
        <f t="shared" si="13"/>
        <v>46362</v>
      </c>
      <c r="E187" s="611" t="str">
        <f t="shared" si="13"/>
        <v>10 YR FLOATING RATE DEBT: PAY 6M Libor +70 bp GBP 300.0 M MAT: 06-DEC-2026</v>
      </c>
      <c r="F187" s="612" t="str">
        <f t="shared" si="13"/>
        <v>Floating</v>
      </c>
      <c r="G187" s="613" t="str">
        <f t="shared" si="13"/>
        <v>Senior</v>
      </c>
      <c r="H187" s="612" t="str">
        <f t="shared" si="13"/>
        <v>LIBOR 6 month</v>
      </c>
      <c r="I187" s="603">
        <f t="shared" si="13"/>
        <v>6.9800000000000001E-3</v>
      </c>
      <c r="J187" s="200"/>
      <c r="K187" s="201"/>
      <c r="L187" s="202"/>
      <c r="M187" s="468">
        <v>2.4</v>
      </c>
      <c r="N187" s="468">
        <v>2.4</v>
      </c>
      <c r="O187" s="468">
        <v>2.4</v>
      </c>
      <c r="P187" s="468">
        <v>2.4</v>
      </c>
      <c r="Q187" s="468">
        <v>2.4</v>
      </c>
      <c r="R187" s="468">
        <v>1.6393442622950818</v>
      </c>
      <c r="S187" s="468">
        <v>0</v>
      </c>
      <c r="T187" s="468">
        <v>0</v>
      </c>
      <c r="U187" s="468">
        <v>0</v>
      </c>
      <c r="V187" s="468">
        <v>0</v>
      </c>
    </row>
    <row r="188" spans="2:22" outlineLevel="1">
      <c r="B188" s="236" t="s">
        <v>538</v>
      </c>
      <c r="C188" s="610">
        <f t="shared" ref="C188:I188" si="14">C167</f>
        <v>41290</v>
      </c>
      <c r="D188" s="610">
        <f t="shared" si="14"/>
        <v>44942</v>
      </c>
      <c r="E188" s="611" t="str">
        <f t="shared" si="14"/>
        <v>10 YR FLOATING RATE DEBT: PAY 12M/1Y RPI 1.0000% REAL RATE GBP 100.0 M MAT: 16-JAN-2023</v>
      </c>
      <c r="F188" s="612" t="str">
        <f t="shared" si="14"/>
        <v>RPI</v>
      </c>
      <c r="G188" s="613" t="str">
        <f t="shared" si="14"/>
        <v>Senior</v>
      </c>
      <c r="H188" s="612" t="str">
        <f t="shared" si="14"/>
        <v>RPI 12 month</v>
      </c>
      <c r="I188" s="603">
        <f t="shared" si="14"/>
        <v>0.01</v>
      </c>
      <c r="J188" s="200"/>
      <c r="K188" s="201"/>
      <c r="L188" s="202"/>
      <c r="M188" s="468">
        <v>1.3</v>
      </c>
      <c r="N188" s="468">
        <v>1.0336065573770492</v>
      </c>
      <c r="O188" s="468">
        <v>0</v>
      </c>
      <c r="P188" s="468">
        <v>0</v>
      </c>
      <c r="Q188" s="468">
        <v>0</v>
      </c>
      <c r="R188" s="468">
        <v>0</v>
      </c>
      <c r="S188" s="468">
        <v>0</v>
      </c>
      <c r="T188" s="468">
        <v>0</v>
      </c>
      <c r="U188" s="468">
        <v>0</v>
      </c>
      <c r="V188" s="468">
        <v>0</v>
      </c>
    </row>
    <row r="189" spans="2:22" outlineLevel="1">
      <c r="B189" s="237" t="s">
        <v>539</v>
      </c>
      <c r="C189" s="610">
        <f t="shared" ref="C189:I189" si="15">C168</f>
        <v>42207</v>
      </c>
      <c r="D189" s="610">
        <f t="shared" si="15"/>
        <v>48782</v>
      </c>
      <c r="E189" s="611" t="str">
        <f t="shared" si="15"/>
        <v>18 YR FLOATING RATE DEBT: PAY 12M/1Y RPI GBP 150.0 M MAT: 22-JUL-2033</v>
      </c>
      <c r="F189" s="612" t="str">
        <f t="shared" si="15"/>
        <v>RPI</v>
      </c>
      <c r="G189" s="613" t="str">
        <f t="shared" si="15"/>
        <v>Senior</v>
      </c>
      <c r="H189" s="612" t="str">
        <f t="shared" si="15"/>
        <v>RPI 12 month</v>
      </c>
      <c r="I189" s="603">
        <f t="shared" si="15"/>
        <v>0</v>
      </c>
      <c r="J189" s="200"/>
      <c r="K189" s="201"/>
      <c r="L189" s="202"/>
      <c r="M189" s="468">
        <v>0</v>
      </c>
      <c r="N189" s="468">
        <v>0</v>
      </c>
      <c r="O189" s="468">
        <v>0</v>
      </c>
      <c r="P189" s="468">
        <v>0</v>
      </c>
      <c r="Q189" s="468">
        <v>0</v>
      </c>
      <c r="R189" s="468">
        <v>0</v>
      </c>
      <c r="S189" s="468">
        <v>0</v>
      </c>
      <c r="T189" s="468">
        <v>0</v>
      </c>
      <c r="U189" s="468">
        <v>0</v>
      </c>
      <c r="V189" s="468">
        <v>0</v>
      </c>
    </row>
    <row r="190" spans="2:22" outlineLevel="1">
      <c r="B190" s="236" t="s">
        <v>540</v>
      </c>
      <c r="C190" s="610">
        <f t="shared" ref="C190:I190" si="16">C169</f>
        <v>42220</v>
      </c>
      <c r="D190" s="610">
        <f t="shared" si="16"/>
        <v>48795</v>
      </c>
      <c r="E190" s="611" t="str">
        <f t="shared" si="16"/>
        <v>18 YR FLOATING RATE DEBT: PAY 12M/1Y RPI GBP 150.0 M MAT: 04-AUG-2033</v>
      </c>
      <c r="F190" s="612" t="str">
        <f t="shared" si="16"/>
        <v>RPI</v>
      </c>
      <c r="G190" s="613" t="str">
        <f t="shared" si="16"/>
        <v>Senior</v>
      </c>
      <c r="H190" s="612" t="str">
        <f t="shared" si="16"/>
        <v>RPI 12 month</v>
      </c>
      <c r="I190" s="603">
        <f t="shared" si="16"/>
        <v>0</v>
      </c>
      <c r="J190" s="200"/>
      <c r="K190" s="201"/>
      <c r="L190" s="202"/>
      <c r="M190" s="468">
        <v>0</v>
      </c>
      <c r="N190" s="468">
        <v>0</v>
      </c>
      <c r="O190" s="468">
        <v>0</v>
      </c>
      <c r="P190" s="468">
        <v>0</v>
      </c>
      <c r="Q190" s="468">
        <v>0</v>
      </c>
      <c r="R190" s="468">
        <v>0</v>
      </c>
      <c r="S190" s="468">
        <v>0</v>
      </c>
      <c r="T190" s="468">
        <v>0</v>
      </c>
      <c r="U190" s="468">
        <v>0</v>
      </c>
      <c r="V190" s="468">
        <v>0</v>
      </c>
    </row>
    <row r="191" spans="2:22" outlineLevel="1">
      <c r="B191" s="237" t="s">
        <v>541</v>
      </c>
      <c r="C191" s="610">
        <f t="shared" ref="C191:I191" si="17">C170</f>
        <v>42360</v>
      </c>
      <c r="D191" s="610">
        <f t="shared" si="17"/>
        <v>48935</v>
      </c>
      <c r="E191" s="611" t="str">
        <f t="shared" si="17"/>
        <v>18 YR FLOATING RATE DEBT: PAY 12M/1Y RPI GBP 300.0 M MAT: 22-DEC-2033</v>
      </c>
      <c r="F191" s="612" t="str">
        <f t="shared" si="17"/>
        <v>RPI</v>
      </c>
      <c r="G191" s="613" t="str">
        <f t="shared" si="17"/>
        <v>Senior</v>
      </c>
      <c r="H191" s="612" t="str">
        <f t="shared" si="17"/>
        <v>RPI 12 month</v>
      </c>
      <c r="I191" s="603">
        <f t="shared" si="17"/>
        <v>0</v>
      </c>
      <c r="J191" s="200"/>
      <c r="K191" s="201"/>
      <c r="L191" s="202"/>
      <c r="M191" s="468">
        <v>0</v>
      </c>
      <c r="N191" s="468">
        <v>0</v>
      </c>
      <c r="O191" s="468">
        <v>0</v>
      </c>
      <c r="P191" s="468">
        <v>0</v>
      </c>
      <c r="Q191" s="468">
        <v>0</v>
      </c>
      <c r="R191" s="468">
        <v>0</v>
      </c>
      <c r="S191" s="468">
        <v>0</v>
      </c>
      <c r="T191" s="468">
        <v>0</v>
      </c>
      <c r="U191" s="468">
        <v>0</v>
      </c>
      <c r="V191" s="468">
        <v>0</v>
      </c>
    </row>
    <row r="192" spans="2:22" outlineLevel="1">
      <c r="B192" s="236" t="s">
        <v>542</v>
      </c>
      <c r="C192" s="610">
        <f t="shared" ref="C192:I192" si="18">C171</f>
        <v>42543</v>
      </c>
      <c r="D192" s="610">
        <f t="shared" si="18"/>
        <v>49117</v>
      </c>
      <c r="E192" s="611" t="str">
        <f t="shared" si="18"/>
        <v>18 YR FLOATING RATE DEBT: PAY 12M/1Y RPI GBP 300.0 M MAT: 22-JUN-2034</v>
      </c>
      <c r="F192" s="612" t="str">
        <f t="shared" si="18"/>
        <v>RPI</v>
      </c>
      <c r="G192" s="613" t="str">
        <f t="shared" si="18"/>
        <v>Senior</v>
      </c>
      <c r="H192" s="612" t="str">
        <f t="shared" si="18"/>
        <v>RPI 12 month</v>
      </c>
      <c r="I192" s="603">
        <f t="shared" si="18"/>
        <v>0</v>
      </c>
      <c r="J192" s="200"/>
      <c r="K192" s="201"/>
      <c r="L192" s="202"/>
      <c r="M192" s="468">
        <v>0</v>
      </c>
      <c r="N192" s="468">
        <v>0</v>
      </c>
      <c r="O192" s="468">
        <v>0</v>
      </c>
      <c r="P192" s="468">
        <v>0</v>
      </c>
      <c r="Q192" s="468">
        <v>0</v>
      </c>
      <c r="R192" s="468">
        <v>0</v>
      </c>
      <c r="S192" s="468">
        <v>0</v>
      </c>
      <c r="T192" s="468">
        <v>0</v>
      </c>
      <c r="U192" s="468">
        <v>0</v>
      </c>
      <c r="V192" s="468">
        <v>0</v>
      </c>
    </row>
    <row r="193" spans="2:29" outlineLevel="1">
      <c r="B193" s="237" t="s">
        <v>543</v>
      </c>
      <c r="C193" s="610">
        <f t="shared" ref="C193:I193" si="19">C172</f>
        <v>0</v>
      </c>
      <c r="D193" s="610">
        <f t="shared" si="19"/>
        <v>0</v>
      </c>
      <c r="E193" s="611" t="str">
        <f t="shared" si="19"/>
        <v>IFRS 16 Right of Use Lease Liability</v>
      </c>
      <c r="F193" s="612">
        <f t="shared" si="19"/>
        <v>0</v>
      </c>
      <c r="G193" s="613">
        <f t="shared" si="19"/>
        <v>0</v>
      </c>
      <c r="H193" s="612">
        <f t="shared" si="19"/>
        <v>0</v>
      </c>
      <c r="I193" s="603">
        <f t="shared" si="19"/>
        <v>0</v>
      </c>
      <c r="J193" s="200"/>
      <c r="K193" s="201"/>
      <c r="L193" s="202"/>
      <c r="M193" s="468">
        <v>0.7</v>
      </c>
      <c r="N193" s="468">
        <v>0</v>
      </c>
      <c r="O193" s="468">
        <v>0</v>
      </c>
      <c r="P193" s="468">
        <v>0</v>
      </c>
      <c r="Q193" s="468">
        <v>0</v>
      </c>
      <c r="R193" s="468">
        <v>0</v>
      </c>
      <c r="S193" s="468">
        <v>0</v>
      </c>
      <c r="T193" s="468">
        <v>0</v>
      </c>
      <c r="U193" s="468">
        <v>0</v>
      </c>
      <c r="V193" s="468">
        <v>0</v>
      </c>
    </row>
    <row r="194" spans="2:29" outlineLevel="1">
      <c r="B194" s="236" t="s">
        <v>544</v>
      </c>
      <c r="C194" s="610" t="str">
        <f t="shared" ref="C194:I194" si="20">C173</f>
        <v/>
      </c>
      <c r="D194" s="610" t="str">
        <f t="shared" si="20"/>
        <v/>
      </c>
      <c r="E194" s="611" t="str">
        <f t="shared" si="20"/>
        <v/>
      </c>
      <c r="F194" s="612" t="str">
        <f t="shared" si="20"/>
        <v/>
      </c>
      <c r="G194" s="613" t="str">
        <f t="shared" si="20"/>
        <v/>
      </c>
      <c r="H194" s="612" t="str">
        <f t="shared" si="20"/>
        <v/>
      </c>
      <c r="I194" s="603" t="str">
        <f t="shared" si="20"/>
        <v/>
      </c>
      <c r="J194" s="200"/>
      <c r="K194" s="201"/>
      <c r="L194" s="202"/>
      <c r="M194" s="468">
        <v>0</v>
      </c>
      <c r="N194" s="468">
        <v>0</v>
      </c>
      <c r="O194" s="468">
        <v>0</v>
      </c>
      <c r="P194" s="468">
        <v>0</v>
      </c>
      <c r="Q194" s="468">
        <v>0</v>
      </c>
      <c r="R194" s="468">
        <v>0</v>
      </c>
      <c r="S194" s="468">
        <v>0</v>
      </c>
      <c r="T194" s="468">
        <v>0</v>
      </c>
      <c r="U194" s="468">
        <v>0</v>
      </c>
      <c r="V194" s="468">
        <v>0</v>
      </c>
    </row>
    <row r="195" spans="2:29" outlineLevel="1">
      <c r="B195" s="237" t="s">
        <v>545</v>
      </c>
      <c r="C195" s="610" t="str">
        <f t="shared" ref="C195:I195" si="21">C174</f>
        <v/>
      </c>
      <c r="D195" s="610" t="str">
        <f t="shared" si="21"/>
        <v/>
      </c>
      <c r="E195" s="611" t="str">
        <f t="shared" si="21"/>
        <v/>
      </c>
      <c r="F195" s="612" t="str">
        <f t="shared" si="21"/>
        <v/>
      </c>
      <c r="G195" s="613" t="str">
        <f t="shared" si="21"/>
        <v/>
      </c>
      <c r="H195" s="612" t="str">
        <f t="shared" si="21"/>
        <v/>
      </c>
      <c r="I195" s="603" t="str">
        <f t="shared" si="21"/>
        <v/>
      </c>
      <c r="J195" s="200"/>
      <c r="K195" s="201"/>
      <c r="L195" s="202"/>
      <c r="M195" s="468">
        <v>0</v>
      </c>
      <c r="N195" s="468">
        <v>0</v>
      </c>
      <c r="O195" s="468">
        <v>0</v>
      </c>
      <c r="P195" s="468">
        <v>0</v>
      </c>
      <c r="Q195" s="468">
        <v>0</v>
      </c>
      <c r="R195" s="468">
        <v>0</v>
      </c>
      <c r="S195" s="468">
        <v>0</v>
      </c>
      <c r="T195" s="468">
        <v>0</v>
      </c>
      <c r="U195" s="468">
        <v>0</v>
      </c>
      <c r="V195" s="468">
        <v>0</v>
      </c>
    </row>
    <row r="196" spans="2:29" outlineLevel="1">
      <c r="B196" s="236" t="s">
        <v>546</v>
      </c>
      <c r="C196" s="610" t="str">
        <f t="shared" ref="C196:I196" si="22">C175</f>
        <v/>
      </c>
      <c r="D196" s="610" t="str">
        <f t="shared" si="22"/>
        <v/>
      </c>
      <c r="E196" s="611" t="str">
        <f t="shared" si="22"/>
        <v/>
      </c>
      <c r="F196" s="612" t="str">
        <f t="shared" si="22"/>
        <v/>
      </c>
      <c r="G196" s="613" t="str">
        <f t="shared" si="22"/>
        <v/>
      </c>
      <c r="H196" s="612" t="str">
        <f t="shared" si="22"/>
        <v/>
      </c>
      <c r="I196" s="603" t="str">
        <f t="shared" si="22"/>
        <v/>
      </c>
      <c r="J196" s="200"/>
      <c r="K196" s="201"/>
      <c r="L196" s="202"/>
      <c r="M196" s="468">
        <v>0</v>
      </c>
      <c r="N196" s="468">
        <v>0</v>
      </c>
      <c r="O196" s="468">
        <v>0</v>
      </c>
      <c r="P196" s="468">
        <v>0</v>
      </c>
      <c r="Q196" s="468">
        <v>0</v>
      </c>
      <c r="R196" s="468">
        <v>0</v>
      </c>
      <c r="S196" s="468">
        <v>0</v>
      </c>
      <c r="T196" s="468">
        <v>0</v>
      </c>
      <c r="U196" s="468">
        <v>0</v>
      </c>
      <c r="V196" s="468">
        <v>0</v>
      </c>
    </row>
    <row r="197" spans="2:29" outlineLevel="1">
      <c r="B197" s="237" t="s">
        <v>547</v>
      </c>
      <c r="C197" s="602" t="str">
        <f t="shared" ref="C197:I197" si="23">C176</f>
        <v/>
      </c>
      <c r="D197" s="602" t="str">
        <f t="shared" si="23"/>
        <v/>
      </c>
      <c r="E197" s="614" t="str">
        <f t="shared" si="23"/>
        <v/>
      </c>
      <c r="F197" s="615" t="str">
        <f t="shared" si="23"/>
        <v/>
      </c>
      <c r="G197" s="616" t="str">
        <f t="shared" si="23"/>
        <v/>
      </c>
      <c r="H197" s="615" t="str">
        <f t="shared" si="23"/>
        <v/>
      </c>
      <c r="I197" s="603" t="str">
        <f t="shared" si="23"/>
        <v/>
      </c>
      <c r="J197" s="200"/>
      <c r="K197" s="201"/>
      <c r="L197" s="202"/>
      <c r="M197" s="468">
        <v>0</v>
      </c>
      <c r="N197" s="468">
        <v>0</v>
      </c>
      <c r="O197" s="468">
        <v>0</v>
      </c>
      <c r="P197" s="468">
        <v>0</v>
      </c>
      <c r="Q197" s="468">
        <v>0</v>
      </c>
      <c r="R197" s="468">
        <v>0</v>
      </c>
      <c r="S197" s="468">
        <v>0</v>
      </c>
      <c r="T197" s="468">
        <v>0</v>
      </c>
      <c r="U197" s="468">
        <v>0</v>
      </c>
      <c r="V197" s="468">
        <v>0</v>
      </c>
    </row>
    <row r="198" spans="2:29" outlineLevel="1">
      <c r="B198" s="236" t="s">
        <v>548</v>
      </c>
      <c r="C198" s="602" t="str">
        <f t="shared" ref="C198:I198" si="24">C177</f>
        <v/>
      </c>
      <c r="D198" s="602" t="str">
        <f t="shared" si="24"/>
        <v/>
      </c>
      <c r="E198" s="614" t="str">
        <f t="shared" si="24"/>
        <v/>
      </c>
      <c r="F198" s="615" t="str">
        <f t="shared" si="24"/>
        <v/>
      </c>
      <c r="G198" s="616" t="str">
        <f t="shared" si="24"/>
        <v/>
      </c>
      <c r="H198" s="615" t="str">
        <f t="shared" si="24"/>
        <v/>
      </c>
      <c r="I198" s="603" t="str">
        <f t="shared" si="24"/>
        <v/>
      </c>
      <c r="J198" s="200"/>
      <c r="K198" s="201"/>
      <c r="L198" s="202"/>
      <c r="M198" s="468">
        <v>0</v>
      </c>
      <c r="N198" s="468">
        <v>0</v>
      </c>
      <c r="O198" s="468">
        <v>0</v>
      </c>
      <c r="P198" s="468">
        <v>0</v>
      </c>
      <c r="Q198" s="468">
        <v>0</v>
      </c>
      <c r="R198" s="468">
        <v>0</v>
      </c>
      <c r="S198" s="468">
        <v>0</v>
      </c>
      <c r="T198" s="468">
        <v>0</v>
      </c>
      <c r="U198" s="468">
        <v>0</v>
      </c>
      <c r="V198" s="468">
        <v>0</v>
      </c>
    </row>
    <row r="199" spans="2:29" outlineLevel="1">
      <c r="B199" s="237" t="s">
        <v>549</v>
      </c>
      <c r="C199" s="602" t="str">
        <f t="shared" ref="C199:I199" si="25">C178</f>
        <v/>
      </c>
      <c r="D199" s="602" t="str">
        <f t="shared" si="25"/>
        <v/>
      </c>
      <c r="E199" s="614" t="str">
        <f t="shared" si="25"/>
        <v/>
      </c>
      <c r="F199" s="615" t="str">
        <f t="shared" si="25"/>
        <v/>
      </c>
      <c r="G199" s="616" t="str">
        <f t="shared" si="25"/>
        <v/>
      </c>
      <c r="H199" s="615" t="str">
        <f t="shared" si="25"/>
        <v/>
      </c>
      <c r="I199" s="603" t="str">
        <f t="shared" si="25"/>
        <v/>
      </c>
      <c r="J199" s="200"/>
      <c r="K199" s="201"/>
      <c r="L199" s="202"/>
      <c r="M199" s="468">
        <v>0</v>
      </c>
      <c r="N199" s="468">
        <v>0</v>
      </c>
      <c r="O199" s="468">
        <v>0</v>
      </c>
      <c r="P199" s="468">
        <v>0</v>
      </c>
      <c r="Q199" s="468">
        <v>0</v>
      </c>
      <c r="R199" s="468">
        <v>0</v>
      </c>
      <c r="S199" s="468">
        <v>0</v>
      </c>
      <c r="T199" s="468">
        <v>0</v>
      </c>
      <c r="U199" s="468">
        <v>0</v>
      </c>
      <c r="V199" s="468">
        <v>0</v>
      </c>
    </row>
    <row r="200" spans="2:29" outlineLevel="1">
      <c r="B200" s="236" t="s">
        <v>550</v>
      </c>
      <c r="C200" s="602" t="str">
        <f t="shared" ref="C200:I200" si="26">C179</f>
        <v/>
      </c>
      <c r="D200" s="602" t="str">
        <f t="shared" si="26"/>
        <v/>
      </c>
      <c r="E200" s="614" t="str">
        <f t="shared" si="26"/>
        <v/>
      </c>
      <c r="F200" s="615" t="str">
        <f t="shared" si="26"/>
        <v/>
      </c>
      <c r="G200" s="616" t="str">
        <f t="shared" si="26"/>
        <v/>
      </c>
      <c r="H200" s="615" t="str">
        <f t="shared" si="26"/>
        <v/>
      </c>
      <c r="I200" s="603" t="str">
        <f t="shared" si="26"/>
        <v/>
      </c>
      <c r="J200" s="200"/>
      <c r="K200" s="201"/>
      <c r="L200" s="202"/>
      <c r="M200" s="468">
        <v>0</v>
      </c>
      <c r="N200" s="468">
        <v>0</v>
      </c>
      <c r="O200" s="468">
        <v>0</v>
      </c>
      <c r="P200" s="468">
        <v>0</v>
      </c>
      <c r="Q200" s="468">
        <v>0</v>
      </c>
      <c r="R200" s="468">
        <v>0</v>
      </c>
      <c r="S200" s="468">
        <v>0</v>
      </c>
      <c r="T200" s="468">
        <v>0</v>
      </c>
      <c r="U200" s="468">
        <v>0</v>
      </c>
      <c r="V200" s="468">
        <v>0</v>
      </c>
    </row>
    <row r="201" spans="2:29" outlineLevel="1">
      <c r="C201" s="150"/>
      <c r="D201" s="150"/>
      <c r="E201" s="150"/>
      <c r="F201" s="150"/>
      <c r="L201" s="981" t="s">
        <v>355</v>
      </c>
      <c r="M201" s="474">
        <f t="shared" ref="M201:V201" si="27">SUM(M186:M200)</f>
        <v>10.1</v>
      </c>
      <c r="N201" s="475">
        <f t="shared" si="27"/>
        <v>9.1336065573770497</v>
      </c>
      <c r="O201" s="475">
        <f t="shared" si="27"/>
        <v>8.1</v>
      </c>
      <c r="P201" s="475">
        <f t="shared" si="27"/>
        <v>8.1</v>
      </c>
      <c r="Q201" s="475">
        <f t="shared" si="27"/>
        <v>8.1</v>
      </c>
      <c r="R201" s="475">
        <f t="shared" si="27"/>
        <v>5.2524590163934421</v>
      </c>
      <c r="S201" s="475">
        <f t="shared" si="27"/>
        <v>0</v>
      </c>
      <c r="T201" s="476">
        <f t="shared" si="27"/>
        <v>0</v>
      </c>
      <c r="U201" s="477">
        <f t="shared" si="27"/>
        <v>0</v>
      </c>
      <c r="V201" s="475">
        <f t="shared" si="27"/>
        <v>0</v>
      </c>
    </row>
    <row r="202" spans="2:29" outlineLevel="1">
      <c r="C202" s="150"/>
      <c r="D202" s="155"/>
      <c r="E202" s="155"/>
      <c r="F202" s="155"/>
      <c r="L202" s="303"/>
      <c r="M202" s="155"/>
      <c r="N202" s="155"/>
      <c r="O202" s="155"/>
      <c r="P202" s="155"/>
      <c r="Q202" s="155"/>
      <c r="R202" s="155"/>
      <c r="S202" s="155"/>
      <c r="T202" s="155"/>
      <c r="U202" s="285"/>
      <c r="V202" s="155"/>
    </row>
    <row r="203" spans="2:29">
      <c r="C203" s="150"/>
      <c r="D203" s="150"/>
      <c r="E203" s="150"/>
      <c r="F203" s="150"/>
      <c r="L203" s="153"/>
      <c r="M203" s="150"/>
      <c r="N203" s="150"/>
      <c r="O203" s="150"/>
      <c r="P203" s="150"/>
      <c r="Q203" s="150"/>
      <c r="R203" s="150"/>
      <c r="S203" s="150"/>
      <c r="T203" s="150"/>
      <c r="U203" s="287"/>
      <c r="V203" s="150"/>
      <c r="W203" s="150"/>
      <c r="X203" s="150"/>
      <c r="Y203" s="150"/>
      <c r="Z203" s="150"/>
      <c r="AA203" s="150"/>
      <c r="AB203" s="150"/>
      <c r="AC203" s="150"/>
    </row>
    <row r="204" spans="2:29" ht="14">
      <c r="B204" s="254" t="s">
        <v>551</v>
      </c>
      <c r="C204" s="255" t="s">
        <v>552</v>
      </c>
      <c r="D204" s="255"/>
      <c r="E204" s="255"/>
      <c r="F204" s="255"/>
      <c r="G204" s="256"/>
      <c r="H204" s="256"/>
      <c r="I204" s="256"/>
      <c r="J204" s="256"/>
      <c r="K204" s="256"/>
      <c r="L204" s="254"/>
      <c r="M204" s="255"/>
      <c r="N204" s="255"/>
      <c r="O204" s="255"/>
      <c r="P204" s="255"/>
      <c r="Q204" s="255"/>
      <c r="R204" s="255"/>
      <c r="S204" s="255"/>
      <c r="T204" s="255"/>
      <c r="U204" s="288"/>
      <c r="V204" s="255"/>
      <c r="W204" s="150"/>
      <c r="X204" s="150"/>
      <c r="Y204" s="150"/>
      <c r="Z204" s="150"/>
      <c r="AA204" s="150"/>
      <c r="AB204" s="150"/>
      <c r="AC204" s="150"/>
    </row>
    <row r="205" spans="2:29" ht="14">
      <c r="B205" s="259"/>
      <c r="C205" s="260"/>
      <c r="D205" s="260"/>
      <c r="E205" s="260"/>
      <c r="F205" s="260"/>
      <c r="G205" s="261"/>
      <c r="H205" s="261"/>
      <c r="I205" s="261"/>
      <c r="J205" s="261"/>
      <c r="K205" s="261"/>
      <c r="L205" s="259"/>
      <c r="M205" s="260"/>
      <c r="N205" s="260"/>
      <c r="O205" s="260"/>
      <c r="P205" s="260"/>
      <c r="Q205" s="260"/>
      <c r="R205" s="260"/>
      <c r="S205" s="260"/>
      <c r="T205" s="260"/>
      <c r="U205" s="289"/>
      <c r="V205" s="260"/>
      <c r="W205" s="150"/>
      <c r="X205" s="150"/>
      <c r="Y205" s="150"/>
      <c r="Z205" s="150"/>
      <c r="AA205" s="150"/>
      <c r="AB205" s="150"/>
      <c r="AC205" s="150"/>
    </row>
    <row r="206" spans="2:29" ht="17.5" outlineLevel="1">
      <c r="D206" s="265" t="s">
        <v>467</v>
      </c>
      <c r="E206" s="266"/>
      <c r="F206" s="266"/>
      <c r="G206" s="266"/>
      <c r="H206" s="266"/>
      <c r="I206" s="266"/>
      <c r="J206" s="266"/>
      <c r="K206" s="266"/>
      <c r="L206" s="306"/>
      <c r="M206" s="267"/>
      <c r="N206" s="267"/>
      <c r="O206" s="267"/>
      <c r="P206" s="267"/>
      <c r="Q206" s="267"/>
      <c r="R206" s="267"/>
      <c r="S206" s="267"/>
      <c r="T206" s="267"/>
      <c r="U206" s="290"/>
      <c r="V206" s="267"/>
    </row>
    <row r="207" spans="2:29" ht="17.5" outlineLevel="1">
      <c r="C207" s="268"/>
      <c r="D207" s="154"/>
      <c r="L207" s="153"/>
      <c r="M207" s="150"/>
      <c r="N207" s="150"/>
      <c r="O207" s="150"/>
      <c r="P207" s="150"/>
      <c r="Q207" s="150"/>
      <c r="R207" s="150"/>
      <c r="S207" s="150"/>
      <c r="T207" s="150"/>
      <c r="U207" s="287"/>
      <c r="V207" s="150"/>
    </row>
    <row r="208" spans="2:29" ht="40.5" outlineLevel="1">
      <c r="B208" s="1181" t="s">
        <v>468</v>
      </c>
      <c r="C208" s="772" t="str">
        <f>IF('R6a - Net Debt input'!D116 = "","",'R6a - Net Debt input'!D116)</f>
        <v>Issue date</v>
      </c>
      <c r="D208" s="773" t="str">
        <f>IF('R6a - Net Debt input'!E116 = "","",'R6a - Net Debt input'!E116)</f>
        <v>Maturity date</v>
      </c>
      <c r="E208" s="773" t="str">
        <f>IF('R6a - Net Debt input'!F116 = "","",'R6a - Net Debt input'!F116)</f>
        <v>Description</v>
      </c>
      <c r="F208" s="773" t="str">
        <f>IF('R6a - Net Debt input'!G116 = "","",'R6a - Net Debt input'!G116)</f>
        <v>Loan type</v>
      </c>
      <c r="G208" s="773" t="str">
        <f>IF('R6a - Net Debt input'!H116 = "","",'R6a - Net Debt input'!H116)</f>
        <v>Payment rank</v>
      </c>
      <c r="H208" s="774" t="str">
        <f>IF('R6a - Net Debt input'!I116 = "","",'R6a - Net Debt input'!I116)</f>
        <v>Reference rate</v>
      </c>
      <c r="I208" s="775" t="str">
        <f>IF('R6a - Net Debt input'!J116 = "","",'R6a - Net Debt input'!J116)</f>
        <v>Coupon rate / margin spread on reference rate</v>
      </c>
      <c r="L208" s="166"/>
      <c r="U208" s="283"/>
    </row>
    <row r="209" spans="2:22" outlineLevel="1">
      <c r="B209" s="982"/>
      <c r="C209" s="243" t="str">
        <f>IF('R6a - Net Debt input'!D117 = "","",'R6a - Net Debt input'!D117)</f>
        <v>dd/mm/yyyy</v>
      </c>
      <c r="D209" s="244" t="str">
        <f>IF('R6a - Net Debt input'!E117 = "","",'R6a - Net Debt input'!E117)</f>
        <v>dd/mm/yyyy</v>
      </c>
      <c r="E209" s="244" t="str">
        <f>IF('R6a - Net Debt input'!F117 = "","",'R6a - Net Debt input'!F117)</f>
        <v/>
      </c>
      <c r="F209" s="244" t="str">
        <f>IF('R6a - Net Debt input'!G117 = "","",'R6a - Net Debt input'!G117)</f>
        <v/>
      </c>
      <c r="G209" s="244" t="str">
        <f>IF('R6a - Net Debt input'!H117 = "","",'R6a - Net Debt input'!H117)</f>
        <v/>
      </c>
      <c r="H209" s="244" t="str">
        <f>IF('R6a - Net Debt input'!I117 = "","",'R6a - Net Debt input'!I117)</f>
        <v/>
      </c>
      <c r="I209" s="245" t="str">
        <f>IF('R6a - Net Debt input'!J117 = "","",'R6a - Net Debt input'!J117)</f>
        <v xml:space="preserve">% </v>
      </c>
      <c r="L209" s="166"/>
      <c r="M209" s="190" t="s">
        <v>469</v>
      </c>
      <c r="N209" s="191" t="s">
        <v>469</v>
      </c>
      <c r="O209" s="191" t="s">
        <v>469</v>
      </c>
      <c r="P209" s="191" t="s">
        <v>469</v>
      </c>
      <c r="Q209" s="191" t="s">
        <v>469</v>
      </c>
      <c r="R209" s="191" t="s">
        <v>469</v>
      </c>
      <c r="S209" s="191" t="s">
        <v>469</v>
      </c>
      <c r="T209" s="275" t="s">
        <v>469</v>
      </c>
      <c r="U209" s="286" t="s">
        <v>469</v>
      </c>
      <c r="V209" s="191" t="s">
        <v>469</v>
      </c>
    </row>
    <row r="210" spans="2:22" outlineLevel="1">
      <c r="B210" s="236" t="s">
        <v>553</v>
      </c>
      <c r="C210" s="203" t="str">
        <f>IF('R6a - Net Debt input'!D118 = "","",'R6a - Net Debt input'!D118)</f>
        <v>On demand</v>
      </c>
      <c r="D210" s="203" t="str">
        <f>IF('R6a - Net Debt input'!E118 = "","",'R6a - Net Debt input'!E118)</f>
        <v>On demand</v>
      </c>
      <c r="E210" s="208" t="str">
        <f>IF('R6a - Net Debt input'!F118 = "","",'R6a - Net Debt input'!F118)</f>
        <v>National Grid plc</v>
      </c>
      <c r="F210" s="209" t="str">
        <f>IF('R6a - Net Debt input'!G118 = "","",'R6a - Net Debt input'!G118)</f>
        <v>Intercompany</v>
      </c>
      <c r="G210" s="534" t="str">
        <f>IF('R6a - Net Debt input'!H118 = "","",'R6a - Net Debt input'!H118)</f>
        <v/>
      </c>
      <c r="H210" s="209" t="str">
        <f>IF('R6a - Net Debt input'!I118 = "","",'R6a - Net Debt input'!I118)</f>
        <v>LIBOR Overnight</v>
      </c>
      <c r="I210" s="368">
        <f>IF('R6a - Net Debt input'!J118 = "","",'R6a - Net Debt input'!J118)</f>
        <v>2E-3</v>
      </c>
      <c r="J210" s="200"/>
      <c r="K210" s="201"/>
      <c r="L210" s="202"/>
      <c r="M210" s="468">
        <v>-1.4493259999999999</v>
      </c>
      <c r="N210" s="468">
        <v>0</v>
      </c>
      <c r="O210" s="468">
        <v>0</v>
      </c>
      <c r="P210" s="468">
        <v>0</v>
      </c>
      <c r="Q210" s="468">
        <v>0</v>
      </c>
      <c r="R210" s="468">
        <v>0</v>
      </c>
      <c r="S210" s="468">
        <v>0</v>
      </c>
      <c r="T210" s="468">
        <v>0</v>
      </c>
      <c r="U210" s="468">
        <v>0</v>
      </c>
      <c r="V210" s="468">
        <v>0</v>
      </c>
    </row>
    <row r="211" spans="2:22" outlineLevel="1">
      <c r="B211" s="239" t="s">
        <v>554</v>
      </c>
      <c r="C211" s="206">
        <f>IF('R6a - Net Debt input'!D119 = "","",'R6a - Net Debt input'!D119)</f>
        <v>42635</v>
      </c>
      <c r="D211" s="206">
        <f>IF('R6a - Net Debt input'!E119 = "","",'R6a - Net Debt input'!E119)</f>
        <v>44475</v>
      </c>
      <c r="E211" s="210" t="str">
        <f>IF('R6a - Net Debt input'!F119 = "","",'R6a - Net Debt input'!F119)</f>
        <v>National Grid plc</v>
      </c>
      <c r="F211" s="211" t="str">
        <f>IF('R6a - Net Debt input'!G119 = "","",'R6a - Net Debt input'!G119)</f>
        <v>Intercompany</v>
      </c>
      <c r="G211" s="535" t="str">
        <f>IF('R6a - Net Debt input'!H119 = "","",'R6a - Net Debt input'!H119)</f>
        <v/>
      </c>
      <c r="H211" s="211" t="str">
        <f>IF('R6a - Net Debt input'!I119 = "","",'R6a - Net Debt input'!I119)</f>
        <v>RPI 12 month</v>
      </c>
      <c r="I211" s="369" t="str">
        <f>IF('R6a - Net Debt input'!J119 = "","",'R6a - Net Debt input'!J119)</f>
        <v>RPI</v>
      </c>
      <c r="J211" s="200"/>
      <c r="K211" s="201"/>
      <c r="L211" s="202"/>
      <c r="M211" s="468">
        <v>2.423899</v>
      </c>
      <c r="N211" s="468">
        <v>0</v>
      </c>
      <c r="O211" s="468">
        <v>0</v>
      </c>
      <c r="P211" s="468">
        <v>0</v>
      </c>
      <c r="Q211" s="468">
        <v>0</v>
      </c>
      <c r="R211" s="468">
        <v>0</v>
      </c>
      <c r="S211" s="468">
        <v>0</v>
      </c>
      <c r="T211" s="468">
        <v>0</v>
      </c>
      <c r="U211" s="468">
        <v>0</v>
      </c>
      <c r="V211" s="468">
        <v>0</v>
      </c>
    </row>
    <row r="212" spans="2:22" outlineLevel="1">
      <c r="B212" s="237" t="s">
        <v>555</v>
      </c>
      <c r="C212" s="206" t="str">
        <f>IF('R6a - Net Debt input'!D120 = "","",'R6a - Net Debt input'!D120)</f>
        <v/>
      </c>
      <c r="D212" s="206" t="str">
        <f>IF('R6a - Net Debt input'!E120 = "","",'R6a - Net Debt input'!E120)</f>
        <v/>
      </c>
      <c r="E212" s="210" t="str">
        <f>IF('R6a - Net Debt input'!F120 = "","",'R6a - Net Debt input'!F120)</f>
        <v/>
      </c>
      <c r="F212" s="211" t="str">
        <f>IF('R6a - Net Debt input'!G120 = "","",'R6a - Net Debt input'!G120)</f>
        <v/>
      </c>
      <c r="G212" s="535" t="str">
        <f>IF('R6a - Net Debt input'!H120 = "","",'R6a - Net Debt input'!H120)</f>
        <v/>
      </c>
      <c r="H212" s="211" t="str">
        <f>IF('R6a - Net Debt input'!I120 = "","",'R6a - Net Debt input'!I120)</f>
        <v/>
      </c>
      <c r="I212" s="369" t="str">
        <f>IF('R6a - Net Debt input'!J120 = "","",'R6a - Net Debt input'!J120)</f>
        <v/>
      </c>
      <c r="J212" s="200"/>
      <c r="K212" s="201"/>
      <c r="L212" s="202"/>
      <c r="M212" s="468">
        <v>0</v>
      </c>
      <c r="N212" s="468">
        <v>0</v>
      </c>
      <c r="O212" s="468">
        <v>0</v>
      </c>
      <c r="P212" s="468">
        <v>0</v>
      </c>
      <c r="Q212" s="468">
        <v>0</v>
      </c>
      <c r="R212" s="468">
        <v>0</v>
      </c>
      <c r="S212" s="468">
        <v>0</v>
      </c>
      <c r="T212" s="468">
        <v>0</v>
      </c>
      <c r="U212" s="468">
        <v>0</v>
      </c>
      <c r="V212" s="468">
        <v>0</v>
      </c>
    </row>
    <row r="213" spans="2:22" outlineLevel="1">
      <c r="B213" s="239" t="s">
        <v>556</v>
      </c>
      <c r="C213" s="206" t="str">
        <f>IF('R6a - Net Debt input'!D121 = "","",'R6a - Net Debt input'!D121)</f>
        <v/>
      </c>
      <c r="D213" s="206" t="str">
        <f>IF('R6a - Net Debt input'!E121 = "","",'R6a - Net Debt input'!E121)</f>
        <v/>
      </c>
      <c r="E213" s="210" t="str">
        <f>IF('R6a - Net Debt input'!F121 = "","",'R6a - Net Debt input'!F121)</f>
        <v/>
      </c>
      <c r="F213" s="211" t="str">
        <f>IF('R6a - Net Debt input'!G121 = "","",'R6a - Net Debt input'!G121)</f>
        <v/>
      </c>
      <c r="G213" s="535" t="str">
        <f>IF('R6a - Net Debt input'!H121 = "","",'R6a - Net Debt input'!H121)</f>
        <v/>
      </c>
      <c r="H213" s="211" t="str">
        <f>IF('R6a - Net Debt input'!I121 = "","",'R6a - Net Debt input'!I121)</f>
        <v/>
      </c>
      <c r="I213" s="369" t="str">
        <f>IF('R6a - Net Debt input'!J121 = "","",'R6a - Net Debt input'!J121)</f>
        <v/>
      </c>
      <c r="J213" s="200"/>
      <c r="K213" s="201"/>
      <c r="L213" s="202"/>
      <c r="M213" s="468">
        <v>0</v>
      </c>
      <c r="N213" s="468">
        <v>0</v>
      </c>
      <c r="O213" s="468">
        <v>0</v>
      </c>
      <c r="P213" s="468">
        <v>0</v>
      </c>
      <c r="Q213" s="468">
        <v>0</v>
      </c>
      <c r="R213" s="468">
        <v>0</v>
      </c>
      <c r="S213" s="468">
        <v>0</v>
      </c>
      <c r="T213" s="468">
        <v>0</v>
      </c>
      <c r="U213" s="468">
        <v>0</v>
      </c>
      <c r="V213" s="468">
        <v>0</v>
      </c>
    </row>
    <row r="214" spans="2:22" outlineLevel="1">
      <c r="B214" s="237" t="s">
        <v>557</v>
      </c>
      <c r="C214" s="206" t="str">
        <f>IF('R6a - Net Debt input'!D122 = "","",'R6a - Net Debt input'!D122)</f>
        <v/>
      </c>
      <c r="D214" s="206" t="str">
        <f>IF('R6a - Net Debt input'!E122 = "","",'R6a - Net Debt input'!E122)</f>
        <v/>
      </c>
      <c r="E214" s="210" t="str">
        <f>IF('R6a - Net Debt input'!F122 = "","",'R6a - Net Debt input'!F122)</f>
        <v/>
      </c>
      <c r="F214" s="211" t="str">
        <f>IF('R6a - Net Debt input'!G122 = "","",'R6a - Net Debt input'!G122)</f>
        <v/>
      </c>
      <c r="G214" s="535" t="str">
        <f>IF('R6a - Net Debt input'!H122 = "","",'R6a - Net Debt input'!H122)</f>
        <v/>
      </c>
      <c r="H214" s="211" t="str">
        <f>IF('R6a - Net Debt input'!I122 = "","",'R6a - Net Debt input'!I122)</f>
        <v/>
      </c>
      <c r="I214" s="369" t="str">
        <f>IF('R6a - Net Debt input'!J122 = "","",'R6a - Net Debt input'!J122)</f>
        <v/>
      </c>
      <c r="J214" s="200"/>
      <c r="K214" s="201"/>
      <c r="L214" s="202"/>
      <c r="M214" s="468">
        <v>0</v>
      </c>
      <c r="N214" s="468">
        <v>0</v>
      </c>
      <c r="O214" s="468">
        <v>0</v>
      </c>
      <c r="P214" s="468">
        <v>0</v>
      </c>
      <c r="Q214" s="468">
        <v>0</v>
      </c>
      <c r="R214" s="468">
        <v>0</v>
      </c>
      <c r="S214" s="468">
        <v>0</v>
      </c>
      <c r="T214" s="468">
        <v>0</v>
      </c>
      <c r="U214" s="468">
        <v>0</v>
      </c>
      <c r="V214" s="468">
        <v>0</v>
      </c>
    </row>
    <row r="215" spans="2:22" outlineLevel="1">
      <c r="B215" s="239" t="s">
        <v>558</v>
      </c>
      <c r="C215" s="206" t="str">
        <f>IF('R6a - Net Debt input'!D123 = "","",'R6a - Net Debt input'!D123)</f>
        <v/>
      </c>
      <c r="D215" s="206" t="str">
        <f>IF('R6a - Net Debt input'!E123 = "","",'R6a - Net Debt input'!E123)</f>
        <v/>
      </c>
      <c r="E215" s="210" t="str">
        <f>IF('R6a - Net Debt input'!F123 = "","",'R6a - Net Debt input'!F123)</f>
        <v/>
      </c>
      <c r="F215" s="211" t="str">
        <f>IF('R6a - Net Debt input'!G123 = "","",'R6a - Net Debt input'!G123)</f>
        <v/>
      </c>
      <c r="G215" s="535" t="str">
        <f>IF('R6a - Net Debt input'!H123 = "","",'R6a - Net Debt input'!H123)</f>
        <v/>
      </c>
      <c r="H215" s="211" t="str">
        <f>IF('R6a - Net Debt input'!I123 = "","",'R6a - Net Debt input'!I123)</f>
        <v/>
      </c>
      <c r="I215" s="369" t="str">
        <f>IF('R6a - Net Debt input'!J123 = "","",'R6a - Net Debt input'!J123)</f>
        <v/>
      </c>
      <c r="J215" s="200"/>
      <c r="K215" s="201"/>
      <c r="L215" s="202"/>
      <c r="M215" s="468">
        <v>0</v>
      </c>
      <c r="N215" s="468">
        <v>0</v>
      </c>
      <c r="O215" s="468">
        <v>0</v>
      </c>
      <c r="P215" s="468">
        <v>0</v>
      </c>
      <c r="Q215" s="468">
        <v>0</v>
      </c>
      <c r="R215" s="468">
        <v>0</v>
      </c>
      <c r="S215" s="468">
        <v>0</v>
      </c>
      <c r="T215" s="468">
        <v>0</v>
      </c>
      <c r="U215" s="468">
        <v>0</v>
      </c>
      <c r="V215" s="468">
        <v>0</v>
      </c>
    </row>
    <row r="216" spans="2:22" outlineLevel="1">
      <c r="B216" s="237" t="s">
        <v>559</v>
      </c>
      <c r="C216" s="206" t="str">
        <f>IF('R6a - Net Debt input'!D124 = "","",'R6a - Net Debt input'!D124)</f>
        <v/>
      </c>
      <c r="D216" s="206" t="str">
        <f>IF('R6a - Net Debt input'!E124 = "","",'R6a - Net Debt input'!E124)</f>
        <v/>
      </c>
      <c r="E216" s="210" t="str">
        <f>IF('R6a - Net Debt input'!F124 = "","",'R6a - Net Debt input'!F124)</f>
        <v/>
      </c>
      <c r="F216" s="211" t="str">
        <f>IF('R6a - Net Debt input'!G124 = "","",'R6a - Net Debt input'!G124)</f>
        <v/>
      </c>
      <c r="G216" s="535" t="str">
        <f>IF('R6a - Net Debt input'!H124 = "","",'R6a - Net Debt input'!H124)</f>
        <v/>
      </c>
      <c r="H216" s="211" t="str">
        <f>IF('R6a - Net Debt input'!I124 = "","",'R6a - Net Debt input'!I124)</f>
        <v/>
      </c>
      <c r="I216" s="369" t="str">
        <f>IF('R6a - Net Debt input'!J124 = "","",'R6a - Net Debt input'!J124)</f>
        <v/>
      </c>
      <c r="J216" s="200"/>
      <c r="K216" s="201"/>
      <c r="L216" s="202"/>
      <c r="M216" s="468">
        <v>0</v>
      </c>
      <c r="N216" s="468">
        <v>0</v>
      </c>
      <c r="O216" s="468">
        <v>0</v>
      </c>
      <c r="P216" s="468">
        <v>0</v>
      </c>
      <c r="Q216" s="468">
        <v>0</v>
      </c>
      <c r="R216" s="468">
        <v>0</v>
      </c>
      <c r="S216" s="468">
        <v>0</v>
      </c>
      <c r="T216" s="468">
        <v>0</v>
      </c>
      <c r="U216" s="468">
        <v>0</v>
      </c>
      <c r="V216" s="468">
        <v>0</v>
      </c>
    </row>
    <row r="217" spans="2:22" outlineLevel="1">
      <c r="B217" s="239" t="s">
        <v>560</v>
      </c>
      <c r="C217" s="206" t="str">
        <f>IF('R6a - Net Debt input'!D125 = "","",'R6a - Net Debt input'!D125)</f>
        <v/>
      </c>
      <c r="D217" s="206" t="str">
        <f>IF('R6a - Net Debt input'!E125 = "","",'R6a - Net Debt input'!E125)</f>
        <v/>
      </c>
      <c r="E217" s="210" t="str">
        <f>IF('R6a - Net Debt input'!F125 = "","",'R6a - Net Debt input'!F125)</f>
        <v/>
      </c>
      <c r="F217" s="211" t="str">
        <f>IF('R6a - Net Debt input'!G125 = "","",'R6a - Net Debt input'!G125)</f>
        <v/>
      </c>
      <c r="G217" s="535" t="str">
        <f>IF('R6a - Net Debt input'!H125 = "","",'R6a - Net Debt input'!H125)</f>
        <v/>
      </c>
      <c r="H217" s="211" t="str">
        <f>IF('R6a - Net Debt input'!I125 = "","",'R6a - Net Debt input'!I125)</f>
        <v/>
      </c>
      <c r="I217" s="369" t="str">
        <f>IF('R6a - Net Debt input'!J125 = "","",'R6a - Net Debt input'!J125)</f>
        <v/>
      </c>
      <c r="J217" s="200"/>
      <c r="K217" s="201"/>
      <c r="L217" s="202"/>
      <c r="M217" s="468">
        <v>0</v>
      </c>
      <c r="N217" s="468">
        <v>0</v>
      </c>
      <c r="O217" s="468">
        <v>0</v>
      </c>
      <c r="P217" s="468">
        <v>0</v>
      </c>
      <c r="Q217" s="468">
        <v>0</v>
      </c>
      <c r="R217" s="468">
        <v>0</v>
      </c>
      <c r="S217" s="468">
        <v>0</v>
      </c>
      <c r="T217" s="468">
        <v>0</v>
      </c>
      <c r="U217" s="468">
        <v>0</v>
      </c>
      <c r="V217" s="468">
        <v>0</v>
      </c>
    </row>
    <row r="218" spans="2:22" outlineLevel="1">
      <c r="B218" s="238" t="s">
        <v>561</v>
      </c>
      <c r="C218" s="207" t="str">
        <f>IF('R6a - Net Debt input'!D126 = "","",'R6a - Net Debt input'!D126)</f>
        <v/>
      </c>
      <c r="D218" s="207" t="str">
        <f>IF('R6a - Net Debt input'!E126 = "","",'R6a - Net Debt input'!E126)</f>
        <v/>
      </c>
      <c r="E218" s="212" t="str">
        <f>IF('R6a - Net Debt input'!F126 = "","",'R6a - Net Debt input'!F126)</f>
        <v/>
      </c>
      <c r="F218" s="213" t="str">
        <f>IF('R6a - Net Debt input'!G126 = "","",'R6a - Net Debt input'!G126)</f>
        <v/>
      </c>
      <c r="G218" s="536" t="str">
        <f>IF('R6a - Net Debt input'!H126 = "","",'R6a - Net Debt input'!H126)</f>
        <v/>
      </c>
      <c r="H218" s="213" t="str">
        <f>IF('R6a - Net Debt input'!I126 = "","",'R6a - Net Debt input'!I126)</f>
        <v/>
      </c>
      <c r="I218" s="370" t="str">
        <f>IF('R6a - Net Debt input'!J126 = "","",'R6a - Net Debt input'!J126)</f>
        <v/>
      </c>
      <c r="J218" s="200"/>
      <c r="K218" s="201"/>
      <c r="L218" s="202"/>
      <c r="M218" s="468">
        <v>0</v>
      </c>
      <c r="N218" s="468">
        <v>0</v>
      </c>
      <c r="O218" s="468">
        <v>0</v>
      </c>
      <c r="P218" s="468">
        <v>0</v>
      </c>
      <c r="Q218" s="468">
        <v>0</v>
      </c>
      <c r="R218" s="468">
        <v>0</v>
      </c>
      <c r="S218" s="468">
        <v>0</v>
      </c>
      <c r="T218" s="468">
        <v>0</v>
      </c>
      <c r="U218" s="468">
        <v>0</v>
      </c>
      <c r="V218" s="468">
        <v>0</v>
      </c>
    </row>
    <row r="219" spans="2:22" outlineLevel="1">
      <c r="C219" s="153"/>
      <c r="D219" s="150"/>
      <c r="E219" s="150"/>
      <c r="F219" s="150"/>
      <c r="H219" s="169"/>
      <c r="L219" s="981" t="s">
        <v>355</v>
      </c>
      <c r="M219" s="474">
        <f t="shared" ref="M219" si="28">SUM(M210:M218)</f>
        <v>0.97457300000000013</v>
      </c>
      <c r="N219" s="1224">
        <f t="shared" ref="N219:V219" si="29">SUM(N210:N218)</f>
        <v>0</v>
      </c>
      <c r="O219" s="1224">
        <f t="shared" si="29"/>
        <v>0</v>
      </c>
      <c r="P219" s="1224">
        <f t="shared" si="29"/>
        <v>0</v>
      </c>
      <c r="Q219" s="1224">
        <f t="shared" si="29"/>
        <v>0</v>
      </c>
      <c r="R219" s="1224">
        <f t="shared" si="29"/>
        <v>0</v>
      </c>
      <c r="S219" s="1224">
        <f t="shared" si="29"/>
        <v>0</v>
      </c>
      <c r="T219" s="1223">
        <f t="shared" si="29"/>
        <v>0</v>
      </c>
      <c r="U219" s="1222">
        <f t="shared" si="29"/>
        <v>0</v>
      </c>
      <c r="V219" s="1224">
        <f t="shared" si="29"/>
        <v>0</v>
      </c>
    </row>
    <row r="220" spans="2:22" outlineLevel="1">
      <c r="L220" s="166"/>
      <c r="U220" s="283"/>
    </row>
    <row r="221" spans="2:22" ht="17.5" outlineLevel="1">
      <c r="D221" s="265" t="s">
        <v>533</v>
      </c>
      <c r="E221" s="266"/>
      <c r="F221" s="266"/>
      <c r="G221" s="266"/>
      <c r="H221" s="266"/>
      <c r="I221" s="266"/>
      <c r="J221" s="266"/>
      <c r="K221" s="266"/>
      <c r="L221" s="304"/>
      <c r="M221" s="266"/>
      <c r="N221" s="266"/>
      <c r="O221" s="266"/>
      <c r="P221" s="266"/>
      <c r="Q221" s="266"/>
      <c r="R221" s="266"/>
      <c r="S221" s="266"/>
      <c r="T221" s="266"/>
      <c r="U221" s="284"/>
      <c r="V221" s="266"/>
    </row>
    <row r="222" spans="2:22" ht="17.5" outlineLevel="1">
      <c r="D222" s="154"/>
      <c r="L222" s="166"/>
      <c r="U222" s="283"/>
    </row>
    <row r="223" spans="2:22" ht="40.5" outlineLevel="1">
      <c r="B223" s="1181" t="s">
        <v>468</v>
      </c>
      <c r="C223" s="772" t="str">
        <f t="shared" ref="C223:I233" si="30">C208</f>
        <v>Issue date</v>
      </c>
      <c r="D223" s="773" t="str">
        <f t="shared" si="30"/>
        <v>Maturity date</v>
      </c>
      <c r="E223" s="773" t="str">
        <f t="shared" si="30"/>
        <v>Description</v>
      </c>
      <c r="F223" s="773" t="str">
        <f t="shared" si="30"/>
        <v>Loan type</v>
      </c>
      <c r="G223" s="773" t="str">
        <f t="shared" si="30"/>
        <v>Payment rank</v>
      </c>
      <c r="H223" s="774" t="str">
        <f t="shared" si="30"/>
        <v>Reference rate</v>
      </c>
      <c r="I223" s="775" t="str">
        <f t="shared" si="30"/>
        <v>Coupon rate / margin spread on reference rate</v>
      </c>
      <c r="L223" s="166"/>
      <c r="U223" s="283"/>
    </row>
    <row r="224" spans="2:22" outlineLevel="1">
      <c r="B224" s="983"/>
      <c r="C224" s="243" t="str">
        <f t="shared" si="30"/>
        <v>dd/mm/yyyy</v>
      </c>
      <c r="D224" s="244" t="str">
        <f t="shared" si="30"/>
        <v>dd/mm/yyyy</v>
      </c>
      <c r="E224" s="244" t="str">
        <f t="shared" si="30"/>
        <v/>
      </c>
      <c r="F224" s="244" t="str">
        <f t="shared" si="30"/>
        <v/>
      </c>
      <c r="G224" s="244" t="str">
        <f t="shared" si="30"/>
        <v/>
      </c>
      <c r="H224" s="244" t="str">
        <f t="shared" si="30"/>
        <v/>
      </c>
      <c r="I224" s="245" t="str">
        <f t="shared" si="30"/>
        <v xml:space="preserve">% </v>
      </c>
      <c r="L224" s="166"/>
      <c r="M224" s="190" t="s">
        <v>469</v>
      </c>
      <c r="N224" s="191" t="s">
        <v>469</v>
      </c>
      <c r="O224" s="191" t="s">
        <v>469</v>
      </c>
      <c r="P224" s="191" t="s">
        <v>469</v>
      </c>
      <c r="Q224" s="191" t="s">
        <v>469</v>
      </c>
      <c r="R224" s="191" t="s">
        <v>469</v>
      </c>
      <c r="S224" s="191" t="s">
        <v>469</v>
      </c>
      <c r="T224" s="275" t="s">
        <v>469</v>
      </c>
      <c r="U224" s="286" t="s">
        <v>469</v>
      </c>
      <c r="V224" s="191" t="s">
        <v>469</v>
      </c>
    </row>
    <row r="225" spans="2:24" outlineLevel="1">
      <c r="B225" s="236" t="s">
        <v>553</v>
      </c>
      <c r="C225" s="597" t="str">
        <f t="shared" si="30"/>
        <v>On demand</v>
      </c>
      <c r="D225" s="597" t="str">
        <f t="shared" si="30"/>
        <v>On demand</v>
      </c>
      <c r="E225" s="607" t="str">
        <f t="shared" si="30"/>
        <v>National Grid plc</v>
      </c>
      <c r="F225" s="608" t="str">
        <f t="shared" si="30"/>
        <v>Intercompany</v>
      </c>
      <c r="G225" s="607" t="str">
        <f t="shared" si="30"/>
        <v/>
      </c>
      <c r="H225" s="608" t="str">
        <f t="shared" si="30"/>
        <v>LIBOR Overnight</v>
      </c>
      <c r="I225" s="601">
        <f t="shared" si="30"/>
        <v>2E-3</v>
      </c>
      <c r="J225" s="200"/>
      <c r="K225" s="201"/>
      <c r="L225" s="202"/>
      <c r="M225" s="468">
        <v>-1.5079340000000001</v>
      </c>
      <c r="N225" s="468">
        <v>0</v>
      </c>
      <c r="O225" s="468">
        <v>0</v>
      </c>
      <c r="P225" s="468">
        <v>0</v>
      </c>
      <c r="Q225" s="468">
        <v>0</v>
      </c>
      <c r="R225" s="468">
        <v>0</v>
      </c>
      <c r="S225" s="468">
        <v>0</v>
      </c>
      <c r="T225" s="468">
        <v>0</v>
      </c>
      <c r="U225" s="468">
        <v>0</v>
      </c>
      <c r="V225" s="468">
        <v>0</v>
      </c>
    </row>
    <row r="226" spans="2:24" outlineLevel="1">
      <c r="B226" s="239" t="s">
        <v>554</v>
      </c>
      <c r="C226" s="602">
        <f t="shared" si="30"/>
        <v>42635</v>
      </c>
      <c r="D226" s="602">
        <f t="shared" si="30"/>
        <v>44475</v>
      </c>
      <c r="E226" s="614" t="str">
        <f t="shared" si="30"/>
        <v>National Grid plc</v>
      </c>
      <c r="F226" s="615" t="str">
        <f t="shared" si="30"/>
        <v>Intercompany</v>
      </c>
      <c r="G226" s="614" t="str">
        <f t="shared" si="30"/>
        <v/>
      </c>
      <c r="H226" s="615" t="str">
        <f t="shared" si="30"/>
        <v>RPI 12 month</v>
      </c>
      <c r="I226" s="603" t="str">
        <f t="shared" si="30"/>
        <v>RPI</v>
      </c>
      <c r="J226" s="200"/>
      <c r="K226" s="201"/>
      <c r="L226" s="202"/>
      <c r="M226" s="468">
        <v>4.4749100000000004</v>
      </c>
      <c r="N226" s="468">
        <v>0</v>
      </c>
      <c r="O226" s="468">
        <v>0</v>
      </c>
      <c r="P226" s="468">
        <v>0</v>
      </c>
      <c r="Q226" s="468">
        <v>0</v>
      </c>
      <c r="R226" s="468">
        <v>0</v>
      </c>
      <c r="S226" s="468">
        <v>0</v>
      </c>
      <c r="T226" s="468">
        <v>0</v>
      </c>
      <c r="U226" s="468">
        <v>0</v>
      </c>
      <c r="V226" s="468">
        <v>0</v>
      </c>
    </row>
    <row r="227" spans="2:24" outlineLevel="1">
      <c r="B227" s="237" t="s">
        <v>555</v>
      </c>
      <c r="C227" s="602" t="str">
        <f t="shared" si="30"/>
        <v/>
      </c>
      <c r="D227" s="602" t="str">
        <f t="shared" si="30"/>
        <v/>
      </c>
      <c r="E227" s="614" t="str">
        <f t="shared" si="30"/>
        <v/>
      </c>
      <c r="F227" s="615" t="str">
        <f t="shared" si="30"/>
        <v/>
      </c>
      <c r="G227" s="614" t="str">
        <f t="shared" si="30"/>
        <v/>
      </c>
      <c r="H227" s="615" t="str">
        <f t="shared" si="30"/>
        <v/>
      </c>
      <c r="I227" s="603" t="str">
        <f t="shared" si="30"/>
        <v/>
      </c>
      <c r="J227" s="200"/>
      <c r="K227" s="201"/>
      <c r="L227" s="202"/>
      <c r="M227" s="468">
        <v>0</v>
      </c>
      <c r="N227" s="468">
        <v>0</v>
      </c>
      <c r="O227" s="468">
        <v>0</v>
      </c>
      <c r="P227" s="468">
        <v>0</v>
      </c>
      <c r="Q227" s="468">
        <v>0</v>
      </c>
      <c r="R227" s="468">
        <v>0</v>
      </c>
      <c r="S227" s="468">
        <v>0</v>
      </c>
      <c r="T227" s="468">
        <v>0</v>
      </c>
      <c r="U227" s="468">
        <v>0</v>
      </c>
      <c r="V227" s="468">
        <v>0</v>
      </c>
    </row>
    <row r="228" spans="2:24" outlineLevel="1">
      <c r="B228" s="239" t="s">
        <v>556</v>
      </c>
      <c r="C228" s="602" t="str">
        <f t="shared" si="30"/>
        <v/>
      </c>
      <c r="D228" s="602" t="str">
        <f t="shared" si="30"/>
        <v/>
      </c>
      <c r="E228" s="614" t="str">
        <f t="shared" si="30"/>
        <v/>
      </c>
      <c r="F228" s="615" t="str">
        <f t="shared" si="30"/>
        <v/>
      </c>
      <c r="G228" s="614" t="str">
        <f t="shared" si="30"/>
        <v/>
      </c>
      <c r="H228" s="615" t="str">
        <f t="shared" si="30"/>
        <v/>
      </c>
      <c r="I228" s="603" t="str">
        <f t="shared" si="30"/>
        <v/>
      </c>
      <c r="J228" s="200"/>
      <c r="K228" s="201"/>
      <c r="L228" s="202"/>
      <c r="M228" s="468">
        <v>0</v>
      </c>
      <c r="N228" s="468">
        <v>0</v>
      </c>
      <c r="O228" s="468">
        <v>0</v>
      </c>
      <c r="P228" s="468">
        <v>0</v>
      </c>
      <c r="Q228" s="468">
        <v>0</v>
      </c>
      <c r="R228" s="468">
        <v>0</v>
      </c>
      <c r="S228" s="468">
        <v>0</v>
      </c>
      <c r="T228" s="468">
        <v>0</v>
      </c>
      <c r="U228" s="468">
        <v>0</v>
      </c>
      <c r="V228" s="468">
        <v>0</v>
      </c>
    </row>
    <row r="229" spans="2:24" outlineLevel="1">
      <c r="B229" s="237" t="s">
        <v>557</v>
      </c>
      <c r="C229" s="602" t="str">
        <f t="shared" si="30"/>
        <v/>
      </c>
      <c r="D229" s="602" t="str">
        <f t="shared" si="30"/>
        <v/>
      </c>
      <c r="E229" s="614" t="str">
        <f t="shared" si="30"/>
        <v/>
      </c>
      <c r="F229" s="615" t="str">
        <f t="shared" si="30"/>
        <v/>
      </c>
      <c r="G229" s="614" t="str">
        <f t="shared" si="30"/>
        <v/>
      </c>
      <c r="H229" s="615" t="str">
        <f t="shared" si="30"/>
        <v/>
      </c>
      <c r="I229" s="603" t="str">
        <f t="shared" si="30"/>
        <v/>
      </c>
      <c r="J229" s="200"/>
      <c r="K229" s="201"/>
      <c r="L229" s="202"/>
      <c r="M229" s="468">
        <v>0</v>
      </c>
      <c r="N229" s="468">
        <v>0</v>
      </c>
      <c r="O229" s="468">
        <v>0</v>
      </c>
      <c r="P229" s="468">
        <v>0</v>
      </c>
      <c r="Q229" s="468">
        <v>0</v>
      </c>
      <c r="R229" s="468">
        <v>0</v>
      </c>
      <c r="S229" s="468">
        <v>0</v>
      </c>
      <c r="T229" s="468">
        <v>0</v>
      </c>
      <c r="U229" s="468">
        <v>0</v>
      </c>
      <c r="V229" s="468">
        <v>0</v>
      </c>
    </row>
    <row r="230" spans="2:24" outlineLevel="1">
      <c r="B230" s="239" t="s">
        <v>558</v>
      </c>
      <c r="C230" s="602" t="str">
        <f t="shared" si="30"/>
        <v/>
      </c>
      <c r="D230" s="602" t="str">
        <f t="shared" si="30"/>
        <v/>
      </c>
      <c r="E230" s="614" t="str">
        <f t="shared" si="30"/>
        <v/>
      </c>
      <c r="F230" s="615" t="str">
        <f t="shared" si="30"/>
        <v/>
      </c>
      <c r="G230" s="614" t="str">
        <f t="shared" si="30"/>
        <v/>
      </c>
      <c r="H230" s="615" t="str">
        <f t="shared" si="30"/>
        <v/>
      </c>
      <c r="I230" s="603" t="str">
        <f t="shared" si="30"/>
        <v/>
      </c>
      <c r="J230" s="200"/>
      <c r="K230" s="201"/>
      <c r="L230" s="202"/>
      <c r="M230" s="468">
        <v>0</v>
      </c>
      <c r="N230" s="468">
        <v>0</v>
      </c>
      <c r="O230" s="468">
        <v>0</v>
      </c>
      <c r="P230" s="468">
        <v>0</v>
      </c>
      <c r="Q230" s="468">
        <v>0</v>
      </c>
      <c r="R230" s="468">
        <v>0</v>
      </c>
      <c r="S230" s="468">
        <v>0</v>
      </c>
      <c r="T230" s="468">
        <v>0</v>
      </c>
      <c r="U230" s="468">
        <v>0</v>
      </c>
      <c r="V230" s="468">
        <v>0</v>
      </c>
    </row>
    <row r="231" spans="2:24" outlineLevel="1">
      <c r="B231" s="237" t="s">
        <v>559</v>
      </c>
      <c r="C231" s="602" t="str">
        <f t="shared" si="30"/>
        <v/>
      </c>
      <c r="D231" s="602" t="str">
        <f t="shared" si="30"/>
        <v/>
      </c>
      <c r="E231" s="614" t="str">
        <f t="shared" si="30"/>
        <v/>
      </c>
      <c r="F231" s="615" t="str">
        <f t="shared" si="30"/>
        <v/>
      </c>
      <c r="G231" s="614" t="str">
        <f t="shared" si="30"/>
        <v/>
      </c>
      <c r="H231" s="615" t="str">
        <f t="shared" si="30"/>
        <v/>
      </c>
      <c r="I231" s="603" t="str">
        <f t="shared" si="30"/>
        <v/>
      </c>
      <c r="J231" s="200"/>
      <c r="K231" s="201"/>
      <c r="L231" s="202"/>
      <c r="M231" s="468">
        <v>0</v>
      </c>
      <c r="N231" s="468">
        <v>0</v>
      </c>
      <c r="O231" s="468">
        <v>0</v>
      </c>
      <c r="P231" s="468">
        <v>0</v>
      </c>
      <c r="Q231" s="468">
        <v>0</v>
      </c>
      <c r="R231" s="468">
        <v>0</v>
      </c>
      <c r="S231" s="468">
        <v>0</v>
      </c>
      <c r="T231" s="468">
        <v>0</v>
      </c>
      <c r="U231" s="468">
        <v>0</v>
      </c>
      <c r="V231" s="468">
        <v>0</v>
      </c>
    </row>
    <row r="232" spans="2:24" outlineLevel="1">
      <c r="B232" s="239" t="s">
        <v>560</v>
      </c>
      <c r="C232" s="602" t="str">
        <f t="shared" si="30"/>
        <v/>
      </c>
      <c r="D232" s="602" t="str">
        <f t="shared" si="30"/>
        <v/>
      </c>
      <c r="E232" s="614" t="str">
        <f t="shared" si="30"/>
        <v/>
      </c>
      <c r="F232" s="615" t="str">
        <f t="shared" si="30"/>
        <v/>
      </c>
      <c r="G232" s="614" t="str">
        <f t="shared" si="30"/>
        <v/>
      </c>
      <c r="H232" s="615" t="str">
        <f t="shared" si="30"/>
        <v/>
      </c>
      <c r="I232" s="603" t="str">
        <f t="shared" si="30"/>
        <v/>
      </c>
      <c r="J232" s="200"/>
      <c r="K232" s="201"/>
      <c r="L232" s="202"/>
      <c r="M232" s="468">
        <v>0</v>
      </c>
      <c r="N232" s="468">
        <v>0</v>
      </c>
      <c r="O232" s="468">
        <v>0</v>
      </c>
      <c r="P232" s="468">
        <v>0</v>
      </c>
      <c r="Q232" s="468">
        <v>0</v>
      </c>
      <c r="R232" s="468">
        <v>0</v>
      </c>
      <c r="S232" s="468">
        <v>0</v>
      </c>
      <c r="T232" s="468">
        <v>0</v>
      </c>
      <c r="U232" s="468">
        <v>0</v>
      </c>
      <c r="V232" s="468">
        <v>0</v>
      </c>
    </row>
    <row r="233" spans="2:24" outlineLevel="1">
      <c r="B233" s="238" t="s">
        <v>561</v>
      </c>
      <c r="C233" s="604" t="str">
        <f t="shared" si="30"/>
        <v/>
      </c>
      <c r="D233" s="604" t="str">
        <f t="shared" si="30"/>
        <v/>
      </c>
      <c r="E233" s="617" t="str">
        <f t="shared" si="30"/>
        <v/>
      </c>
      <c r="F233" s="618" t="str">
        <f t="shared" si="30"/>
        <v/>
      </c>
      <c r="G233" s="617" t="str">
        <f t="shared" si="30"/>
        <v/>
      </c>
      <c r="H233" s="618" t="str">
        <f t="shared" si="30"/>
        <v/>
      </c>
      <c r="I233" s="605" t="str">
        <f t="shared" si="30"/>
        <v/>
      </c>
      <c r="J233" s="200"/>
      <c r="K233" s="201"/>
      <c r="L233" s="202"/>
      <c r="M233" s="468">
        <v>0</v>
      </c>
      <c r="N233" s="468">
        <v>0</v>
      </c>
      <c r="O233" s="468">
        <v>0</v>
      </c>
      <c r="P233" s="468">
        <v>0</v>
      </c>
      <c r="Q233" s="468">
        <v>0</v>
      </c>
      <c r="R233" s="468">
        <v>0</v>
      </c>
      <c r="S233" s="468">
        <v>0</v>
      </c>
      <c r="T233" s="468">
        <v>0</v>
      </c>
      <c r="U233" s="468">
        <v>0</v>
      </c>
      <c r="V233" s="468">
        <v>0</v>
      </c>
    </row>
    <row r="234" spans="2:24" outlineLevel="1">
      <c r="C234" s="150"/>
      <c r="D234" s="150"/>
      <c r="E234" s="150"/>
      <c r="F234" s="150"/>
      <c r="L234" s="981" t="s">
        <v>355</v>
      </c>
      <c r="M234" s="474">
        <f>SUM(M225:M233)</f>
        <v>2.9669760000000003</v>
      </c>
      <c r="N234" s="475">
        <f t="shared" ref="N234:V234" si="31">SUM(N225:N233)</f>
        <v>0</v>
      </c>
      <c r="O234" s="475">
        <f t="shared" si="31"/>
        <v>0</v>
      </c>
      <c r="P234" s="475">
        <f t="shared" si="31"/>
        <v>0</v>
      </c>
      <c r="Q234" s="475">
        <f t="shared" si="31"/>
        <v>0</v>
      </c>
      <c r="R234" s="475">
        <f t="shared" si="31"/>
        <v>0</v>
      </c>
      <c r="S234" s="475">
        <f t="shared" si="31"/>
        <v>0</v>
      </c>
      <c r="T234" s="476">
        <f t="shared" si="31"/>
        <v>0</v>
      </c>
      <c r="U234" s="477">
        <f t="shared" si="31"/>
        <v>0</v>
      </c>
      <c r="V234" s="475">
        <f t="shared" si="31"/>
        <v>0</v>
      </c>
    </row>
    <row r="235" spans="2:24" outlineLevel="1">
      <c r="C235" s="150"/>
      <c r="D235" s="155"/>
      <c r="E235" s="155"/>
      <c r="F235" s="155"/>
      <c r="L235" s="166"/>
      <c r="M235" s="155"/>
      <c r="N235" s="155"/>
      <c r="O235" s="155"/>
      <c r="P235" s="155"/>
      <c r="Q235" s="155"/>
      <c r="R235" s="155"/>
      <c r="S235" s="155"/>
      <c r="T235" s="155"/>
      <c r="U235" s="285"/>
      <c r="V235" s="155"/>
      <c r="W235" s="155"/>
      <c r="X235" s="155"/>
    </row>
    <row r="236" spans="2:24">
      <c r="C236" s="150"/>
      <c r="D236" s="155"/>
      <c r="E236" s="155"/>
      <c r="F236" s="155"/>
      <c r="L236" s="166"/>
      <c r="M236" s="155"/>
      <c r="N236" s="155"/>
      <c r="O236" s="155"/>
      <c r="P236" s="155"/>
      <c r="Q236" s="155"/>
      <c r="R236" s="155"/>
      <c r="S236" s="155"/>
      <c r="T236" s="155"/>
      <c r="U236" s="285"/>
      <c r="V236" s="155"/>
      <c r="W236" s="155"/>
      <c r="X236" s="155"/>
    </row>
    <row r="237" spans="2:24" ht="14">
      <c r="B237" s="254" t="s">
        <v>562</v>
      </c>
      <c r="C237" s="255" t="s">
        <v>563</v>
      </c>
      <c r="D237" s="255"/>
      <c r="E237" s="255"/>
      <c r="F237" s="255"/>
      <c r="G237" s="256"/>
      <c r="H237" s="256"/>
      <c r="I237" s="256"/>
      <c r="J237" s="256"/>
      <c r="K237" s="256"/>
      <c r="L237" s="307"/>
      <c r="M237" s="255"/>
      <c r="N237" s="255"/>
      <c r="O237" s="255"/>
      <c r="P237" s="255"/>
      <c r="Q237" s="255"/>
      <c r="R237" s="255"/>
      <c r="S237" s="255"/>
      <c r="T237" s="255"/>
      <c r="U237" s="288"/>
      <c r="V237" s="255"/>
    </row>
    <row r="238" spans="2:24" ht="14">
      <c r="B238" s="259"/>
      <c r="C238" s="260"/>
      <c r="D238" s="260"/>
      <c r="E238" s="260"/>
      <c r="F238" s="260"/>
      <c r="G238" s="261"/>
      <c r="H238" s="261"/>
      <c r="I238" s="261"/>
      <c r="J238" s="261"/>
      <c r="K238" s="261"/>
      <c r="L238" s="308"/>
      <c r="M238" s="260"/>
      <c r="N238" s="260"/>
      <c r="O238" s="260"/>
      <c r="P238" s="260"/>
      <c r="Q238" s="260"/>
      <c r="R238" s="260"/>
      <c r="S238" s="260"/>
      <c r="T238" s="260"/>
      <c r="U238" s="289"/>
      <c r="V238" s="260"/>
    </row>
    <row r="239" spans="2:24" ht="17.5" outlineLevel="1">
      <c r="B239" s="153"/>
      <c r="C239" s="150"/>
      <c r="D239" s="265" t="s">
        <v>467</v>
      </c>
      <c r="E239" s="267"/>
      <c r="F239" s="267"/>
      <c r="G239" s="266"/>
      <c r="H239" s="266"/>
      <c r="I239" s="266"/>
      <c r="J239" s="266"/>
      <c r="K239" s="266"/>
      <c r="L239" s="304"/>
      <c r="M239" s="267"/>
      <c r="N239" s="267"/>
      <c r="O239" s="267"/>
      <c r="P239" s="267"/>
      <c r="Q239" s="267"/>
      <c r="R239" s="267"/>
      <c r="S239" s="267"/>
      <c r="T239" s="267"/>
      <c r="U239" s="290"/>
      <c r="V239" s="267"/>
    </row>
    <row r="240" spans="2:24" ht="17.5" outlineLevel="1">
      <c r="B240" s="153"/>
      <c r="C240" s="150"/>
      <c r="D240" s="154"/>
      <c r="E240" s="150"/>
      <c r="F240" s="150"/>
      <c r="L240" s="166"/>
      <c r="M240" s="150"/>
      <c r="N240" s="150"/>
      <c r="O240" s="150"/>
      <c r="P240" s="150"/>
      <c r="Q240" s="150"/>
      <c r="R240" s="150"/>
      <c r="S240" s="150"/>
      <c r="T240" s="150"/>
      <c r="U240" s="287"/>
      <c r="V240" s="150"/>
    </row>
    <row r="241" spans="2:22" ht="40.5" outlineLevel="1">
      <c r="B241" s="1181" t="s">
        <v>468</v>
      </c>
      <c r="C241" s="776" t="str">
        <f>IF('R6a - Net Debt input'!D131 = "","",'R6a - Net Debt input'!D131)</f>
        <v>Issue date</v>
      </c>
      <c r="D241" s="774" t="str">
        <f>IF('R6a - Net Debt input'!E131 = "","",'R6a - Net Debt input'!E131)</f>
        <v>Maturity date</v>
      </c>
      <c r="E241" s="774" t="str">
        <f>IF('R6a - Net Debt input'!F131 = "","",'R6a - Net Debt input'!F131)</f>
        <v>Description</v>
      </c>
      <c r="F241" s="774" t="str">
        <f>IF('R6a - Net Debt input'!G131 = "","",'R6a - Net Debt input'!G131)</f>
        <v>Loan type</v>
      </c>
      <c r="G241" s="774" t="str">
        <f>IF('R6a - Net Debt input'!H131 = "","",'R6a - Net Debt input'!H131)</f>
        <v>Payment rank</v>
      </c>
      <c r="H241" s="774" t="str">
        <f>IF('R6a - Net Debt input'!I131 = "","",'R6a - Net Debt input'!I131)</f>
        <v>Reference rate</v>
      </c>
      <c r="I241" s="775" t="str">
        <f>IF('R6a - Net Debt input'!J131 = "","",'R6a - Net Debt input'!J131)</f>
        <v>Coupon rate / margin spread on reference rate</v>
      </c>
      <c r="L241" s="166"/>
      <c r="U241" s="283"/>
    </row>
    <row r="242" spans="2:22" outlineLevel="1">
      <c r="B242" s="982"/>
      <c r="C242" s="240" t="str">
        <f>IF('R6a - Net Debt input'!D132 = "","",'R6a - Net Debt input'!D132)</f>
        <v>dd/mm/yyyy</v>
      </c>
      <c r="D242" s="241" t="str">
        <f>IF('R6a - Net Debt input'!E132 = "","",'R6a - Net Debt input'!E132)</f>
        <v>dd/mm/yyyy</v>
      </c>
      <c r="E242" s="241" t="str">
        <f>IF('R6a - Net Debt input'!F132 = "","",'R6a - Net Debt input'!F132)</f>
        <v/>
      </c>
      <c r="F242" s="241" t="str">
        <f>IF('R6a - Net Debt input'!G132 = "","",'R6a - Net Debt input'!G132)</f>
        <v/>
      </c>
      <c r="G242" s="241" t="str">
        <f>IF('R6a - Net Debt input'!H132 = "","",'R6a - Net Debt input'!H132)</f>
        <v/>
      </c>
      <c r="H242" s="241" t="str">
        <f>IF('R6a - Net Debt input'!I132 = "","",'R6a - Net Debt input'!I132)</f>
        <v/>
      </c>
      <c r="I242" s="242" t="str">
        <f>IF('R6a - Net Debt input'!J132 = "","",'R6a - Net Debt input'!J132)</f>
        <v xml:space="preserve">% </v>
      </c>
      <c r="L242" s="166"/>
      <c r="M242" s="190" t="s">
        <v>469</v>
      </c>
      <c r="N242" s="191" t="s">
        <v>469</v>
      </c>
      <c r="O242" s="191" t="s">
        <v>469</v>
      </c>
      <c r="P242" s="191" t="s">
        <v>469</v>
      </c>
      <c r="Q242" s="191" t="s">
        <v>469</v>
      </c>
      <c r="R242" s="191" t="s">
        <v>469</v>
      </c>
      <c r="S242" s="191" t="s">
        <v>469</v>
      </c>
      <c r="T242" s="275" t="s">
        <v>469</v>
      </c>
      <c r="U242" s="286" t="s">
        <v>469</v>
      </c>
      <c r="V242" s="191" t="s">
        <v>469</v>
      </c>
    </row>
    <row r="243" spans="2:22" outlineLevel="1">
      <c r="B243" s="236" t="s">
        <v>564</v>
      </c>
      <c r="C243" s="203" t="str">
        <f>IF('R6a - Net Debt input'!D133 = "","",'R6a - Net Debt input'!D133)</f>
        <v>On demand</v>
      </c>
      <c r="D243" s="203" t="str">
        <f>IF('R6a - Net Debt input'!E133 = "","",'R6a - Net Debt input'!E133)</f>
        <v>On demand</v>
      </c>
      <c r="E243" s="208" t="str">
        <f>IF('R6a - Net Debt input'!F133 = "","",'R6a - Net Debt input'!F133)</f>
        <v>National Grid Holdings One plc</v>
      </c>
      <c r="F243" s="209" t="str">
        <f>IF('R6a - Net Debt input'!G133 = "","",'R6a - Net Debt input'!G133)</f>
        <v>Intercompany</v>
      </c>
      <c r="G243" s="208" t="str">
        <f>IF('R6a - Net Debt input'!H133 = "","",'R6a - Net Debt input'!H133)</f>
        <v/>
      </c>
      <c r="H243" s="209" t="str">
        <f>IF('R6a - Net Debt input'!I133 = "","",'R6a - Net Debt input'!I133)</f>
        <v/>
      </c>
      <c r="I243" s="368" t="str">
        <f>IF('R6a - Net Debt input'!J133 = "","",'R6a - Net Debt input'!J133)</f>
        <v/>
      </c>
      <c r="J243" s="200"/>
      <c r="K243" s="201"/>
      <c r="L243" s="202"/>
      <c r="M243" s="468">
        <v>0</v>
      </c>
      <c r="N243" s="468">
        <v>0</v>
      </c>
      <c r="O243" s="468">
        <v>0</v>
      </c>
      <c r="P243" s="468">
        <v>0</v>
      </c>
      <c r="Q243" s="468">
        <v>0</v>
      </c>
      <c r="R243" s="468">
        <v>0</v>
      </c>
      <c r="S243" s="468">
        <v>0</v>
      </c>
      <c r="T243" s="468">
        <v>0</v>
      </c>
      <c r="U243" s="468">
        <v>0</v>
      </c>
      <c r="V243" s="468">
        <v>0</v>
      </c>
    </row>
    <row r="244" spans="2:22" outlineLevel="1">
      <c r="B244" s="239" t="s">
        <v>565</v>
      </c>
      <c r="C244" s="206" t="str">
        <f>IF('R6a - Net Debt input'!D134 = "","",'R6a - Net Debt input'!D134)</f>
        <v/>
      </c>
      <c r="D244" s="206" t="str">
        <f>IF('R6a - Net Debt input'!E134 = "","",'R6a - Net Debt input'!E134)</f>
        <v/>
      </c>
      <c r="E244" s="210" t="str">
        <f>IF('R6a - Net Debt input'!F134 = "","",'R6a - Net Debt input'!F134)</f>
        <v/>
      </c>
      <c r="F244" s="211" t="str">
        <f>IF('R6a - Net Debt input'!G134 = "","",'R6a - Net Debt input'!G134)</f>
        <v/>
      </c>
      <c r="G244" s="210" t="str">
        <f>IF('R6a - Net Debt input'!H134 = "","",'R6a - Net Debt input'!H134)</f>
        <v/>
      </c>
      <c r="H244" s="211" t="str">
        <f>IF('R6a - Net Debt input'!I134 = "","",'R6a - Net Debt input'!I134)</f>
        <v/>
      </c>
      <c r="I244" s="369" t="str">
        <f>IF('R6a - Net Debt input'!J134 = "","",'R6a - Net Debt input'!J134)</f>
        <v/>
      </c>
      <c r="J244" s="200"/>
      <c r="K244" s="201"/>
      <c r="L244" s="202"/>
      <c r="M244" s="468">
        <v>0</v>
      </c>
      <c r="N244" s="468">
        <v>0</v>
      </c>
      <c r="O244" s="468">
        <v>0</v>
      </c>
      <c r="P244" s="468">
        <v>0</v>
      </c>
      <c r="Q244" s="468">
        <v>0</v>
      </c>
      <c r="R244" s="468">
        <v>0</v>
      </c>
      <c r="S244" s="468">
        <v>0</v>
      </c>
      <c r="T244" s="468">
        <v>0</v>
      </c>
      <c r="U244" s="468">
        <v>0</v>
      </c>
      <c r="V244" s="468">
        <v>0</v>
      </c>
    </row>
    <row r="245" spans="2:22" outlineLevel="1">
      <c r="B245" s="237" t="s">
        <v>566</v>
      </c>
      <c r="C245" s="206" t="str">
        <f>IF('R6a - Net Debt input'!D135 = "","",'R6a - Net Debt input'!D135)</f>
        <v/>
      </c>
      <c r="D245" s="206" t="str">
        <f>IF('R6a - Net Debt input'!E135 = "","",'R6a - Net Debt input'!E135)</f>
        <v/>
      </c>
      <c r="E245" s="210" t="str">
        <f>IF('R6a - Net Debt input'!F135 = "","",'R6a - Net Debt input'!F135)</f>
        <v/>
      </c>
      <c r="F245" s="211" t="str">
        <f>IF('R6a - Net Debt input'!G135 = "","",'R6a - Net Debt input'!G135)</f>
        <v/>
      </c>
      <c r="G245" s="210" t="str">
        <f>IF('R6a - Net Debt input'!H135 = "","",'R6a - Net Debt input'!H135)</f>
        <v/>
      </c>
      <c r="H245" s="211" t="str">
        <f>IF('R6a - Net Debt input'!I135 = "","",'R6a - Net Debt input'!I135)</f>
        <v/>
      </c>
      <c r="I245" s="369" t="str">
        <f>IF('R6a - Net Debt input'!J135 = "","",'R6a - Net Debt input'!J135)</f>
        <v/>
      </c>
      <c r="J245" s="200"/>
      <c r="K245" s="201"/>
      <c r="L245" s="202"/>
      <c r="M245" s="468">
        <v>0</v>
      </c>
      <c r="N245" s="468">
        <v>0</v>
      </c>
      <c r="O245" s="468">
        <v>0</v>
      </c>
      <c r="P245" s="468">
        <v>0</v>
      </c>
      <c r="Q245" s="468">
        <v>0</v>
      </c>
      <c r="R245" s="468">
        <v>0</v>
      </c>
      <c r="S245" s="468">
        <v>0</v>
      </c>
      <c r="T245" s="468">
        <v>0</v>
      </c>
      <c r="U245" s="468">
        <v>0</v>
      </c>
      <c r="V245" s="468">
        <v>0</v>
      </c>
    </row>
    <row r="246" spans="2:22" outlineLevel="1">
      <c r="B246" s="239" t="s">
        <v>567</v>
      </c>
      <c r="C246" s="206" t="str">
        <f>IF('R6a - Net Debt input'!D136 = "","",'R6a - Net Debt input'!D136)</f>
        <v/>
      </c>
      <c r="D246" s="206" t="str">
        <f>IF('R6a - Net Debt input'!E136 = "","",'R6a - Net Debt input'!E136)</f>
        <v/>
      </c>
      <c r="E246" s="210" t="str">
        <f>IF('R6a - Net Debt input'!F136 = "","",'R6a - Net Debt input'!F136)</f>
        <v/>
      </c>
      <c r="F246" s="211" t="str">
        <f>IF('R6a - Net Debt input'!G136 = "","",'R6a - Net Debt input'!G136)</f>
        <v/>
      </c>
      <c r="G246" s="210" t="str">
        <f>IF('R6a - Net Debt input'!H136 = "","",'R6a - Net Debt input'!H136)</f>
        <v/>
      </c>
      <c r="H246" s="211" t="str">
        <f>IF('R6a - Net Debt input'!I136 = "","",'R6a - Net Debt input'!I136)</f>
        <v/>
      </c>
      <c r="I246" s="369" t="str">
        <f>IF('R6a - Net Debt input'!J136 = "","",'R6a - Net Debt input'!J136)</f>
        <v/>
      </c>
      <c r="J246" s="200"/>
      <c r="K246" s="201"/>
      <c r="L246" s="202"/>
      <c r="M246" s="468">
        <v>0</v>
      </c>
      <c r="N246" s="468">
        <v>0</v>
      </c>
      <c r="O246" s="468">
        <v>0</v>
      </c>
      <c r="P246" s="468">
        <v>0</v>
      </c>
      <c r="Q246" s="468">
        <v>0</v>
      </c>
      <c r="R246" s="468">
        <v>0</v>
      </c>
      <c r="S246" s="468">
        <v>0</v>
      </c>
      <c r="T246" s="468">
        <v>0</v>
      </c>
      <c r="U246" s="468">
        <v>0</v>
      </c>
      <c r="V246" s="468">
        <v>0</v>
      </c>
    </row>
    <row r="247" spans="2:22" outlineLevel="1">
      <c r="B247" s="237" t="s">
        <v>568</v>
      </c>
      <c r="C247" s="206" t="str">
        <f>IF('R6a - Net Debt input'!D137 = "","",'R6a - Net Debt input'!D137)</f>
        <v/>
      </c>
      <c r="D247" s="206" t="str">
        <f>IF('R6a - Net Debt input'!E137 = "","",'R6a - Net Debt input'!E137)</f>
        <v/>
      </c>
      <c r="E247" s="210" t="str">
        <f>IF('R6a - Net Debt input'!F137 = "","",'R6a - Net Debt input'!F137)</f>
        <v/>
      </c>
      <c r="F247" s="211" t="str">
        <f>IF('R6a - Net Debt input'!G137 = "","",'R6a - Net Debt input'!G137)</f>
        <v/>
      </c>
      <c r="G247" s="210" t="str">
        <f>IF('R6a - Net Debt input'!H137 = "","",'R6a - Net Debt input'!H137)</f>
        <v/>
      </c>
      <c r="H247" s="211" t="str">
        <f>IF('R6a - Net Debt input'!I137 = "","",'R6a - Net Debt input'!I137)</f>
        <v/>
      </c>
      <c r="I247" s="369" t="str">
        <f>IF('R6a - Net Debt input'!J137 = "","",'R6a - Net Debt input'!J137)</f>
        <v/>
      </c>
      <c r="J247" s="200"/>
      <c r="K247" s="201"/>
      <c r="L247" s="202"/>
      <c r="M247" s="468">
        <v>0</v>
      </c>
      <c r="N247" s="468">
        <v>0</v>
      </c>
      <c r="O247" s="468">
        <v>0</v>
      </c>
      <c r="P247" s="468">
        <v>0</v>
      </c>
      <c r="Q247" s="468">
        <v>0</v>
      </c>
      <c r="R247" s="468">
        <v>0</v>
      </c>
      <c r="S247" s="468">
        <v>0</v>
      </c>
      <c r="T247" s="468">
        <v>0</v>
      </c>
      <c r="U247" s="468">
        <v>0</v>
      </c>
      <c r="V247" s="468">
        <v>0</v>
      </c>
    </row>
    <row r="248" spans="2:22" outlineLevel="1">
      <c r="B248" s="239" t="s">
        <v>569</v>
      </c>
      <c r="C248" s="206" t="str">
        <f>IF('R6a - Net Debt input'!D138 = "","",'R6a - Net Debt input'!D138)</f>
        <v/>
      </c>
      <c r="D248" s="206" t="str">
        <f>IF('R6a - Net Debt input'!E138 = "","",'R6a - Net Debt input'!E138)</f>
        <v/>
      </c>
      <c r="E248" s="210" t="str">
        <f>IF('R6a - Net Debt input'!F138 = "","",'R6a - Net Debt input'!F138)</f>
        <v/>
      </c>
      <c r="F248" s="211" t="str">
        <f>IF('R6a - Net Debt input'!G138 = "","",'R6a - Net Debt input'!G138)</f>
        <v/>
      </c>
      <c r="G248" s="210" t="str">
        <f>IF('R6a - Net Debt input'!H138 = "","",'R6a - Net Debt input'!H138)</f>
        <v/>
      </c>
      <c r="H248" s="211" t="str">
        <f>IF('R6a - Net Debt input'!I138 = "","",'R6a - Net Debt input'!I138)</f>
        <v/>
      </c>
      <c r="I248" s="369" t="str">
        <f>IF('R6a - Net Debt input'!J138 = "","",'R6a - Net Debt input'!J138)</f>
        <v/>
      </c>
      <c r="J248" s="200"/>
      <c r="K248" s="201"/>
      <c r="L248" s="202"/>
      <c r="M248" s="468">
        <v>0</v>
      </c>
      <c r="N248" s="468">
        <v>0</v>
      </c>
      <c r="O248" s="468">
        <v>0</v>
      </c>
      <c r="P248" s="468">
        <v>0</v>
      </c>
      <c r="Q248" s="468">
        <v>0</v>
      </c>
      <c r="R248" s="468">
        <v>0</v>
      </c>
      <c r="S248" s="468">
        <v>0</v>
      </c>
      <c r="T248" s="468">
        <v>0</v>
      </c>
      <c r="U248" s="468">
        <v>0</v>
      </c>
      <c r="V248" s="468">
        <v>0</v>
      </c>
    </row>
    <row r="249" spans="2:22" outlineLevel="1">
      <c r="B249" s="237" t="s">
        <v>570</v>
      </c>
      <c r="C249" s="206" t="str">
        <f>IF('R6a - Net Debt input'!D139 = "","",'R6a - Net Debt input'!D139)</f>
        <v/>
      </c>
      <c r="D249" s="206" t="str">
        <f>IF('R6a - Net Debt input'!E139 = "","",'R6a - Net Debt input'!E139)</f>
        <v/>
      </c>
      <c r="E249" s="210" t="str">
        <f>IF('R6a - Net Debt input'!F139 = "","",'R6a - Net Debt input'!F139)</f>
        <v/>
      </c>
      <c r="F249" s="211" t="str">
        <f>IF('R6a - Net Debt input'!G139 = "","",'R6a - Net Debt input'!G139)</f>
        <v/>
      </c>
      <c r="G249" s="210" t="str">
        <f>IF('R6a - Net Debt input'!H139 = "","",'R6a - Net Debt input'!H139)</f>
        <v/>
      </c>
      <c r="H249" s="211" t="str">
        <f>IF('R6a - Net Debt input'!I139 = "","",'R6a - Net Debt input'!I139)</f>
        <v/>
      </c>
      <c r="I249" s="369" t="str">
        <f>IF('R6a - Net Debt input'!J139 = "","",'R6a - Net Debt input'!J139)</f>
        <v/>
      </c>
      <c r="J249" s="200"/>
      <c r="K249" s="201"/>
      <c r="L249" s="202"/>
      <c r="M249" s="468">
        <v>0</v>
      </c>
      <c r="N249" s="468">
        <v>0</v>
      </c>
      <c r="O249" s="468">
        <v>0</v>
      </c>
      <c r="P249" s="468">
        <v>0</v>
      </c>
      <c r="Q249" s="468">
        <v>0</v>
      </c>
      <c r="R249" s="468">
        <v>0</v>
      </c>
      <c r="S249" s="468">
        <v>0</v>
      </c>
      <c r="T249" s="468">
        <v>0</v>
      </c>
      <c r="U249" s="468">
        <v>0</v>
      </c>
      <c r="V249" s="468">
        <v>0</v>
      </c>
    </row>
    <row r="250" spans="2:22" outlineLevel="1">
      <c r="B250" s="239" t="s">
        <v>571</v>
      </c>
      <c r="C250" s="206" t="str">
        <f>IF('R6a - Net Debt input'!D140 = "","",'R6a - Net Debt input'!D140)</f>
        <v/>
      </c>
      <c r="D250" s="206" t="str">
        <f>IF('R6a - Net Debt input'!E140 = "","",'R6a - Net Debt input'!E140)</f>
        <v/>
      </c>
      <c r="E250" s="210" t="str">
        <f>IF('R6a - Net Debt input'!F140 = "","",'R6a - Net Debt input'!F140)</f>
        <v/>
      </c>
      <c r="F250" s="211" t="str">
        <f>IF('R6a - Net Debt input'!G140 = "","",'R6a - Net Debt input'!G140)</f>
        <v/>
      </c>
      <c r="G250" s="210" t="str">
        <f>IF('R6a - Net Debt input'!H140 = "","",'R6a - Net Debt input'!H140)</f>
        <v/>
      </c>
      <c r="H250" s="211" t="str">
        <f>IF('R6a - Net Debt input'!I140 = "","",'R6a - Net Debt input'!I140)</f>
        <v/>
      </c>
      <c r="I250" s="369" t="str">
        <f>IF('R6a - Net Debt input'!J140 = "","",'R6a - Net Debt input'!J140)</f>
        <v/>
      </c>
      <c r="J250" s="200"/>
      <c r="K250" s="201"/>
      <c r="L250" s="202"/>
      <c r="M250" s="468">
        <v>0</v>
      </c>
      <c r="N250" s="468">
        <v>0</v>
      </c>
      <c r="O250" s="468">
        <v>0</v>
      </c>
      <c r="P250" s="468">
        <v>0</v>
      </c>
      <c r="Q250" s="468">
        <v>0</v>
      </c>
      <c r="R250" s="468">
        <v>0</v>
      </c>
      <c r="S250" s="468">
        <v>0</v>
      </c>
      <c r="T250" s="468">
        <v>0</v>
      </c>
      <c r="U250" s="468">
        <v>0</v>
      </c>
      <c r="V250" s="468">
        <v>0</v>
      </c>
    </row>
    <row r="251" spans="2:22" outlineLevel="1">
      <c r="B251" s="238" t="s">
        <v>572</v>
      </c>
      <c r="C251" s="207" t="str">
        <f>IF('R6a - Net Debt input'!D141 = "","",'R6a - Net Debt input'!D141)</f>
        <v/>
      </c>
      <c r="D251" s="207" t="str">
        <f>IF('R6a - Net Debt input'!E141 = "","",'R6a - Net Debt input'!E141)</f>
        <v/>
      </c>
      <c r="E251" s="212" t="str">
        <f>IF('R6a - Net Debt input'!F141 = "","",'R6a - Net Debt input'!F141)</f>
        <v/>
      </c>
      <c r="F251" s="213" t="str">
        <f>IF('R6a - Net Debt input'!G141 = "","",'R6a - Net Debt input'!G141)</f>
        <v/>
      </c>
      <c r="G251" s="212" t="str">
        <f>IF('R6a - Net Debt input'!H141 = "","",'R6a - Net Debt input'!H141)</f>
        <v/>
      </c>
      <c r="H251" s="213" t="str">
        <f>IF('R6a - Net Debt input'!I141 = "","",'R6a - Net Debt input'!I141)</f>
        <v/>
      </c>
      <c r="I251" s="370" t="str">
        <f>IF('R6a - Net Debt input'!J141 = "","",'R6a - Net Debt input'!J141)</f>
        <v/>
      </c>
      <c r="J251" s="200"/>
      <c r="K251" s="201"/>
      <c r="L251" s="202"/>
      <c r="M251" s="468">
        <v>0</v>
      </c>
      <c r="N251" s="468">
        <v>0</v>
      </c>
      <c r="O251" s="468">
        <v>0</v>
      </c>
      <c r="P251" s="468">
        <v>0</v>
      </c>
      <c r="Q251" s="468">
        <v>0</v>
      </c>
      <c r="R251" s="468">
        <v>0</v>
      </c>
      <c r="S251" s="468">
        <v>0</v>
      </c>
      <c r="T251" s="468">
        <v>0</v>
      </c>
      <c r="U251" s="468">
        <v>0</v>
      </c>
      <c r="V251" s="468">
        <v>0</v>
      </c>
    </row>
    <row r="252" spans="2:22" outlineLevel="1">
      <c r="C252" s="150"/>
      <c r="D252" s="150"/>
      <c r="E252" s="150"/>
      <c r="F252" s="150"/>
      <c r="L252" s="981" t="s">
        <v>355</v>
      </c>
      <c r="M252" s="474">
        <f>SUM(M243:M251)</f>
        <v>0</v>
      </c>
      <c r="N252" s="475">
        <f t="shared" ref="N252:V252" si="32">SUM(N243:N251)</f>
        <v>0</v>
      </c>
      <c r="O252" s="475">
        <f t="shared" si="32"/>
        <v>0</v>
      </c>
      <c r="P252" s="475">
        <f t="shared" si="32"/>
        <v>0</v>
      </c>
      <c r="Q252" s="475">
        <f t="shared" si="32"/>
        <v>0</v>
      </c>
      <c r="R252" s="475">
        <f t="shared" si="32"/>
        <v>0</v>
      </c>
      <c r="S252" s="475">
        <f t="shared" si="32"/>
        <v>0</v>
      </c>
      <c r="T252" s="476">
        <f t="shared" si="32"/>
        <v>0</v>
      </c>
      <c r="U252" s="477">
        <f t="shared" si="32"/>
        <v>0</v>
      </c>
      <c r="V252" s="475">
        <f t="shared" si="32"/>
        <v>0</v>
      </c>
    </row>
    <row r="253" spans="2:22" outlineLevel="1">
      <c r="C253" s="150"/>
      <c r="D253" s="150"/>
      <c r="E253" s="150"/>
      <c r="F253" s="150"/>
      <c r="L253" s="166"/>
      <c r="M253" s="269"/>
      <c r="N253" s="269"/>
      <c r="O253" s="269"/>
      <c r="P253" s="269"/>
      <c r="Q253" s="269"/>
      <c r="R253" s="269"/>
      <c r="S253" s="269"/>
      <c r="T253" s="269"/>
      <c r="U253" s="291"/>
      <c r="V253" s="269"/>
    </row>
    <row r="254" spans="2:22" ht="17.5" outlineLevel="1">
      <c r="C254" s="150"/>
      <c r="D254" s="265" t="s">
        <v>533</v>
      </c>
      <c r="E254" s="266"/>
      <c r="F254" s="266"/>
      <c r="G254" s="266"/>
      <c r="H254" s="266"/>
      <c r="I254" s="266"/>
      <c r="J254" s="266"/>
      <c r="K254" s="266"/>
      <c r="L254" s="304"/>
      <c r="M254" s="266"/>
      <c r="N254" s="266"/>
      <c r="O254" s="266"/>
      <c r="P254" s="266"/>
      <c r="Q254" s="266"/>
      <c r="R254" s="266"/>
      <c r="S254" s="266"/>
      <c r="T254" s="266"/>
      <c r="U254" s="284"/>
      <c r="V254" s="266"/>
    </row>
    <row r="255" spans="2:22" ht="17.5" outlineLevel="1">
      <c r="C255" s="150"/>
      <c r="D255" s="154"/>
      <c r="L255" s="166"/>
      <c r="U255" s="283"/>
    </row>
    <row r="256" spans="2:22" ht="40.5" outlineLevel="1">
      <c r="B256" s="1181" t="s">
        <v>468</v>
      </c>
      <c r="C256" s="776" t="str">
        <f t="shared" ref="C256:I266" si="33">C241</f>
        <v>Issue date</v>
      </c>
      <c r="D256" s="774" t="str">
        <f t="shared" si="33"/>
        <v>Maturity date</v>
      </c>
      <c r="E256" s="774" t="str">
        <f t="shared" si="33"/>
        <v>Description</v>
      </c>
      <c r="F256" s="774" t="str">
        <f t="shared" si="33"/>
        <v>Loan type</v>
      </c>
      <c r="G256" s="774" t="str">
        <f t="shared" si="33"/>
        <v>Payment rank</v>
      </c>
      <c r="H256" s="774" t="str">
        <f t="shared" si="33"/>
        <v>Reference rate</v>
      </c>
      <c r="I256" s="775" t="str">
        <f t="shared" si="33"/>
        <v>Coupon rate / margin spread on reference rate</v>
      </c>
      <c r="L256" s="166"/>
      <c r="U256" s="283"/>
    </row>
    <row r="257" spans="2:30" outlineLevel="1">
      <c r="B257" s="983"/>
      <c r="C257" s="240" t="str">
        <f t="shared" si="33"/>
        <v>dd/mm/yyyy</v>
      </c>
      <c r="D257" s="241" t="str">
        <f t="shared" si="33"/>
        <v>dd/mm/yyyy</v>
      </c>
      <c r="E257" s="241" t="str">
        <f t="shared" si="33"/>
        <v/>
      </c>
      <c r="F257" s="241" t="str">
        <f t="shared" si="33"/>
        <v/>
      </c>
      <c r="G257" s="241" t="str">
        <f t="shared" si="33"/>
        <v/>
      </c>
      <c r="H257" s="241" t="str">
        <f t="shared" si="33"/>
        <v/>
      </c>
      <c r="I257" s="242" t="str">
        <f t="shared" si="33"/>
        <v xml:space="preserve">% </v>
      </c>
      <c r="L257" s="166"/>
      <c r="M257" s="190" t="s">
        <v>469</v>
      </c>
      <c r="N257" s="191" t="s">
        <v>469</v>
      </c>
      <c r="O257" s="191" t="s">
        <v>469</v>
      </c>
      <c r="P257" s="191" t="s">
        <v>469</v>
      </c>
      <c r="Q257" s="191" t="s">
        <v>469</v>
      </c>
      <c r="R257" s="191" t="s">
        <v>469</v>
      </c>
      <c r="S257" s="191" t="s">
        <v>469</v>
      </c>
      <c r="T257" s="275" t="s">
        <v>469</v>
      </c>
      <c r="U257" s="286" t="s">
        <v>469</v>
      </c>
      <c r="V257" s="191" t="s">
        <v>469</v>
      </c>
    </row>
    <row r="258" spans="2:30" outlineLevel="1">
      <c r="B258" s="236" t="s">
        <v>564</v>
      </c>
      <c r="C258" s="597" t="str">
        <f>C243</f>
        <v>On demand</v>
      </c>
      <c r="D258" s="597" t="str">
        <f t="shared" si="33"/>
        <v>On demand</v>
      </c>
      <c r="E258" s="607" t="str">
        <f t="shared" si="33"/>
        <v>National Grid Holdings One plc</v>
      </c>
      <c r="F258" s="608" t="str">
        <f t="shared" si="33"/>
        <v>Intercompany</v>
      </c>
      <c r="G258" s="607" t="str">
        <f t="shared" si="33"/>
        <v/>
      </c>
      <c r="H258" s="608" t="str">
        <f t="shared" si="33"/>
        <v/>
      </c>
      <c r="I258" s="601" t="str">
        <f t="shared" si="33"/>
        <v/>
      </c>
      <c r="J258" s="200"/>
      <c r="K258" s="201"/>
      <c r="L258" s="202"/>
      <c r="M258" s="468">
        <v>0</v>
      </c>
      <c r="N258" s="468">
        <v>0</v>
      </c>
      <c r="O258" s="468">
        <v>0</v>
      </c>
      <c r="P258" s="468">
        <v>0</v>
      </c>
      <c r="Q258" s="468">
        <v>0</v>
      </c>
      <c r="R258" s="468">
        <v>0</v>
      </c>
      <c r="S258" s="468">
        <v>0</v>
      </c>
      <c r="T258" s="468">
        <v>0</v>
      </c>
      <c r="U258" s="468">
        <v>0</v>
      </c>
      <c r="V258" s="468">
        <v>0</v>
      </c>
    </row>
    <row r="259" spans="2:30" outlineLevel="1">
      <c r="B259" s="239" t="s">
        <v>565</v>
      </c>
      <c r="C259" s="602" t="str">
        <f t="shared" si="33"/>
        <v/>
      </c>
      <c r="D259" s="602" t="str">
        <f t="shared" si="33"/>
        <v/>
      </c>
      <c r="E259" s="614" t="str">
        <f t="shared" si="33"/>
        <v/>
      </c>
      <c r="F259" s="615" t="str">
        <f t="shared" si="33"/>
        <v/>
      </c>
      <c r="G259" s="614" t="str">
        <f t="shared" si="33"/>
        <v/>
      </c>
      <c r="H259" s="615" t="str">
        <f t="shared" si="33"/>
        <v/>
      </c>
      <c r="I259" s="603" t="str">
        <f t="shared" si="33"/>
        <v/>
      </c>
      <c r="J259" s="200"/>
      <c r="K259" s="201"/>
      <c r="L259" s="202"/>
      <c r="M259" s="468">
        <v>0</v>
      </c>
      <c r="N259" s="468">
        <v>0</v>
      </c>
      <c r="O259" s="468">
        <v>0</v>
      </c>
      <c r="P259" s="468">
        <v>0</v>
      </c>
      <c r="Q259" s="468">
        <v>0</v>
      </c>
      <c r="R259" s="468">
        <v>0</v>
      </c>
      <c r="S259" s="468">
        <v>0</v>
      </c>
      <c r="T259" s="468">
        <v>0</v>
      </c>
      <c r="U259" s="468">
        <v>0</v>
      </c>
      <c r="V259" s="468">
        <v>0</v>
      </c>
    </row>
    <row r="260" spans="2:30" outlineLevel="1">
      <c r="B260" s="237" t="s">
        <v>566</v>
      </c>
      <c r="C260" s="602" t="str">
        <f t="shared" si="33"/>
        <v/>
      </c>
      <c r="D260" s="602" t="str">
        <f t="shared" si="33"/>
        <v/>
      </c>
      <c r="E260" s="614" t="str">
        <f t="shared" si="33"/>
        <v/>
      </c>
      <c r="F260" s="615" t="str">
        <f t="shared" si="33"/>
        <v/>
      </c>
      <c r="G260" s="614" t="str">
        <f t="shared" si="33"/>
        <v/>
      </c>
      <c r="H260" s="615" t="str">
        <f t="shared" si="33"/>
        <v/>
      </c>
      <c r="I260" s="603" t="str">
        <f t="shared" si="33"/>
        <v/>
      </c>
      <c r="J260" s="200"/>
      <c r="K260" s="201"/>
      <c r="L260" s="202"/>
      <c r="M260" s="468">
        <v>0</v>
      </c>
      <c r="N260" s="468">
        <v>0</v>
      </c>
      <c r="O260" s="468">
        <v>0</v>
      </c>
      <c r="P260" s="468">
        <v>0</v>
      </c>
      <c r="Q260" s="468">
        <v>0</v>
      </c>
      <c r="R260" s="468">
        <v>0</v>
      </c>
      <c r="S260" s="468">
        <v>0</v>
      </c>
      <c r="T260" s="468">
        <v>0</v>
      </c>
      <c r="U260" s="468">
        <v>0</v>
      </c>
      <c r="V260" s="468">
        <v>0</v>
      </c>
    </row>
    <row r="261" spans="2:30" outlineLevel="1">
      <c r="B261" s="239" t="s">
        <v>567</v>
      </c>
      <c r="C261" s="602" t="str">
        <f t="shared" si="33"/>
        <v/>
      </c>
      <c r="D261" s="602" t="str">
        <f t="shared" si="33"/>
        <v/>
      </c>
      <c r="E261" s="614" t="str">
        <f t="shared" si="33"/>
        <v/>
      </c>
      <c r="F261" s="615" t="str">
        <f t="shared" si="33"/>
        <v/>
      </c>
      <c r="G261" s="614" t="str">
        <f t="shared" si="33"/>
        <v/>
      </c>
      <c r="H261" s="615" t="str">
        <f t="shared" si="33"/>
        <v/>
      </c>
      <c r="I261" s="603" t="str">
        <f t="shared" si="33"/>
        <v/>
      </c>
      <c r="J261" s="200"/>
      <c r="K261" s="201"/>
      <c r="L261" s="202"/>
      <c r="M261" s="468">
        <v>0</v>
      </c>
      <c r="N261" s="468">
        <v>0</v>
      </c>
      <c r="O261" s="468">
        <v>0</v>
      </c>
      <c r="P261" s="468">
        <v>0</v>
      </c>
      <c r="Q261" s="468">
        <v>0</v>
      </c>
      <c r="R261" s="468">
        <v>0</v>
      </c>
      <c r="S261" s="468">
        <v>0</v>
      </c>
      <c r="T261" s="468">
        <v>0</v>
      </c>
      <c r="U261" s="468">
        <v>0</v>
      </c>
      <c r="V261" s="468">
        <v>0</v>
      </c>
    </row>
    <row r="262" spans="2:30" outlineLevel="1">
      <c r="B262" s="237" t="s">
        <v>568</v>
      </c>
      <c r="C262" s="602" t="str">
        <f t="shared" si="33"/>
        <v/>
      </c>
      <c r="D262" s="602" t="str">
        <f t="shared" si="33"/>
        <v/>
      </c>
      <c r="E262" s="614" t="str">
        <f t="shared" si="33"/>
        <v/>
      </c>
      <c r="F262" s="615" t="str">
        <f t="shared" si="33"/>
        <v/>
      </c>
      <c r="G262" s="614" t="str">
        <f t="shared" si="33"/>
        <v/>
      </c>
      <c r="H262" s="615" t="str">
        <f t="shared" si="33"/>
        <v/>
      </c>
      <c r="I262" s="603" t="str">
        <f t="shared" si="33"/>
        <v/>
      </c>
      <c r="J262" s="200"/>
      <c r="K262" s="201"/>
      <c r="L262" s="202"/>
      <c r="M262" s="468">
        <v>0</v>
      </c>
      <c r="N262" s="468">
        <v>0</v>
      </c>
      <c r="O262" s="468">
        <v>0</v>
      </c>
      <c r="P262" s="468">
        <v>0</v>
      </c>
      <c r="Q262" s="468">
        <v>0</v>
      </c>
      <c r="R262" s="468">
        <v>0</v>
      </c>
      <c r="S262" s="468">
        <v>0</v>
      </c>
      <c r="T262" s="468">
        <v>0</v>
      </c>
      <c r="U262" s="468">
        <v>0</v>
      </c>
      <c r="V262" s="468">
        <v>0</v>
      </c>
    </row>
    <row r="263" spans="2:30" outlineLevel="1">
      <c r="B263" s="239" t="s">
        <v>569</v>
      </c>
      <c r="C263" s="602" t="str">
        <f t="shared" si="33"/>
        <v/>
      </c>
      <c r="D263" s="602" t="str">
        <f t="shared" si="33"/>
        <v/>
      </c>
      <c r="E263" s="614" t="str">
        <f t="shared" si="33"/>
        <v/>
      </c>
      <c r="F263" s="615" t="str">
        <f t="shared" si="33"/>
        <v/>
      </c>
      <c r="G263" s="614" t="str">
        <f t="shared" si="33"/>
        <v/>
      </c>
      <c r="H263" s="615" t="str">
        <f t="shared" si="33"/>
        <v/>
      </c>
      <c r="I263" s="603" t="str">
        <f t="shared" si="33"/>
        <v/>
      </c>
      <c r="J263" s="200"/>
      <c r="K263" s="201"/>
      <c r="L263" s="202"/>
      <c r="M263" s="468">
        <v>0</v>
      </c>
      <c r="N263" s="468">
        <v>0</v>
      </c>
      <c r="O263" s="468">
        <v>0</v>
      </c>
      <c r="P263" s="468">
        <v>0</v>
      </c>
      <c r="Q263" s="468">
        <v>0</v>
      </c>
      <c r="R263" s="468">
        <v>0</v>
      </c>
      <c r="S263" s="468">
        <v>0</v>
      </c>
      <c r="T263" s="468">
        <v>0</v>
      </c>
      <c r="U263" s="468">
        <v>0</v>
      </c>
      <c r="V263" s="468">
        <v>0</v>
      </c>
    </row>
    <row r="264" spans="2:30" outlineLevel="1">
      <c r="B264" s="237" t="s">
        <v>570</v>
      </c>
      <c r="C264" s="602" t="str">
        <f t="shared" si="33"/>
        <v/>
      </c>
      <c r="D264" s="602" t="str">
        <f t="shared" si="33"/>
        <v/>
      </c>
      <c r="E264" s="614" t="str">
        <f t="shared" si="33"/>
        <v/>
      </c>
      <c r="F264" s="615" t="str">
        <f t="shared" si="33"/>
        <v/>
      </c>
      <c r="G264" s="614" t="str">
        <f t="shared" si="33"/>
        <v/>
      </c>
      <c r="H264" s="615" t="str">
        <f t="shared" si="33"/>
        <v/>
      </c>
      <c r="I264" s="603" t="str">
        <f t="shared" si="33"/>
        <v/>
      </c>
      <c r="J264" s="200"/>
      <c r="K264" s="201"/>
      <c r="L264" s="202"/>
      <c r="M264" s="468">
        <v>0</v>
      </c>
      <c r="N264" s="468">
        <v>0</v>
      </c>
      <c r="O264" s="468">
        <v>0</v>
      </c>
      <c r="P264" s="468">
        <v>0</v>
      </c>
      <c r="Q264" s="468">
        <v>0</v>
      </c>
      <c r="R264" s="468">
        <v>0</v>
      </c>
      <c r="S264" s="468">
        <v>0</v>
      </c>
      <c r="T264" s="468">
        <v>0</v>
      </c>
      <c r="U264" s="468">
        <v>0</v>
      </c>
      <c r="V264" s="468">
        <v>0</v>
      </c>
    </row>
    <row r="265" spans="2:30" outlineLevel="1">
      <c r="B265" s="239" t="s">
        <v>571</v>
      </c>
      <c r="C265" s="602" t="str">
        <f t="shared" si="33"/>
        <v/>
      </c>
      <c r="D265" s="602" t="str">
        <f t="shared" si="33"/>
        <v/>
      </c>
      <c r="E265" s="614" t="str">
        <f t="shared" si="33"/>
        <v/>
      </c>
      <c r="F265" s="615" t="str">
        <f t="shared" si="33"/>
        <v/>
      </c>
      <c r="G265" s="614" t="str">
        <f t="shared" si="33"/>
        <v/>
      </c>
      <c r="H265" s="615" t="str">
        <f t="shared" si="33"/>
        <v/>
      </c>
      <c r="I265" s="603" t="str">
        <f t="shared" si="33"/>
        <v/>
      </c>
      <c r="J265" s="200"/>
      <c r="K265" s="201"/>
      <c r="L265" s="202"/>
      <c r="M265" s="468">
        <v>0</v>
      </c>
      <c r="N265" s="468">
        <v>0</v>
      </c>
      <c r="O265" s="468">
        <v>0</v>
      </c>
      <c r="P265" s="468">
        <v>0</v>
      </c>
      <c r="Q265" s="468">
        <v>0</v>
      </c>
      <c r="R265" s="468">
        <v>0</v>
      </c>
      <c r="S265" s="468">
        <v>0</v>
      </c>
      <c r="T265" s="468">
        <v>0</v>
      </c>
      <c r="U265" s="468">
        <v>0</v>
      </c>
      <c r="V265" s="468">
        <v>0</v>
      </c>
    </row>
    <row r="266" spans="2:30" outlineLevel="1">
      <c r="B266" s="238" t="s">
        <v>572</v>
      </c>
      <c r="C266" s="604" t="str">
        <f t="shared" si="33"/>
        <v/>
      </c>
      <c r="D266" s="604" t="str">
        <f t="shared" si="33"/>
        <v/>
      </c>
      <c r="E266" s="617" t="str">
        <f t="shared" si="33"/>
        <v/>
      </c>
      <c r="F266" s="618" t="str">
        <f t="shared" si="33"/>
        <v/>
      </c>
      <c r="G266" s="617" t="str">
        <f t="shared" si="33"/>
        <v/>
      </c>
      <c r="H266" s="618" t="str">
        <f t="shared" si="33"/>
        <v/>
      </c>
      <c r="I266" s="605" t="str">
        <f t="shared" si="33"/>
        <v/>
      </c>
      <c r="J266" s="200"/>
      <c r="K266" s="201"/>
      <c r="L266" s="202"/>
      <c r="M266" s="468">
        <v>0</v>
      </c>
      <c r="N266" s="468">
        <v>0</v>
      </c>
      <c r="O266" s="468">
        <v>0</v>
      </c>
      <c r="P266" s="468">
        <v>0</v>
      </c>
      <c r="Q266" s="468">
        <v>0</v>
      </c>
      <c r="R266" s="468">
        <v>0</v>
      </c>
      <c r="S266" s="468">
        <v>0</v>
      </c>
      <c r="T266" s="468">
        <v>0</v>
      </c>
      <c r="U266" s="468">
        <v>0</v>
      </c>
      <c r="V266" s="468">
        <v>0</v>
      </c>
    </row>
    <row r="267" spans="2:30" outlineLevel="1">
      <c r="C267" s="150"/>
      <c r="D267" s="150"/>
      <c r="E267" s="150"/>
      <c r="F267" s="150"/>
      <c r="L267" s="981" t="s">
        <v>355</v>
      </c>
      <c r="M267" s="474">
        <f>SUM(M258:M266)</f>
        <v>0</v>
      </c>
      <c r="N267" s="475">
        <f t="shared" ref="N267:V267" si="34">SUM(N258:N266)</f>
        <v>0</v>
      </c>
      <c r="O267" s="475">
        <f t="shared" si="34"/>
        <v>0</v>
      </c>
      <c r="P267" s="475">
        <f t="shared" si="34"/>
        <v>0</v>
      </c>
      <c r="Q267" s="475">
        <f t="shared" si="34"/>
        <v>0</v>
      </c>
      <c r="R267" s="475">
        <f t="shared" si="34"/>
        <v>0</v>
      </c>
      <c r="S267" s="475">
        <f t="shared" si="34"/>
        <v>0</v>
      </c>
      <c r="T267" s="476">
        <f t="shared" si="34"/>
        <v>0</v>
      </c>
      <c r="U267" s="477">
        <f t="shared" si="34"/>
        <v>0</v>
      </c>
      <c r="V267" s="475">
        <f t="shared" si="34"/>
        <v>0</v>
      </c>
    </row>
    <row r="268" spans="2:30" outlineLevel="1">
      <c r="C268" s="150"/>
      <c r="D268" s="155"/>
      <c r="E268" s="155"/>
      <c r="F268" s="155"/>
      <c r="L268" s="303"/>
      <c r="M268" s="155"/>
      <c r="N268" s="155"/>
      <c r="O268" s="155"/>
      <c r="P268" s="155"/>
      <c r="Q268" s="155"/>
      <c r="R268" s="155"/>
      <c r="S268" s="155"/>
      <c r="T268" s="155"/>
      <c r="U268" s="285"/>
      <c r="V268" s="155"/>
      <c r="W268" s="155"/>
      <c r="X268" s="155"/>
      <c r="Y268" s="155"/>
      <c r="Z268" s="155"/>
      <c r="AA268" s="155"/>
      <c r="AB268" s="155"/>
      <c r="AC268" s="155"/>
      <c r="AD268" s="155"/>
    </row>
    <row r="269" spans="2:30">
      <c r="C269" s="150"/>
      <c r="L269" s="166"/>
      <c r="M269" s="156"/>
      <c r="N269" s="156"/>
      <c r="O269" s="156"/>
      <c r="P269" s="156"/>
      <c r="Q269" s="156"/>
      <c r="R269" s="156"/>
      <c r="S269" s="156"/>
      <c r="T269" s="156"/>
      <c r="U269" s="292"/>
      <c r="V269" s="156"/>
    </row>
    <row r="270" spans="2:30" ht="14">
      <c r="B270" s="254" t="s">
        <v>573</v>
      </c>
      <c r="C270" s="255" t="s">
        <v>574</v>
      </c>
      <c r="D270" s="255"/>
      <c r="E270" s="255"/>
      <c r="F270" s="255"/>
      <c r="G270" s="256"/>
      <c r="H270" s="256"/>
      <c r="I270" s="256"/>
      <c r="J270" s="256"/>
      <c r="K270" s="256"/>
      <c r="L270" s="254"/>
      <c r="M270" s="255"/>
      <c r="N270" s="255"/>
      <c r="O270" s="255"/>
      <c r="P270" s="255"/>
      <c r="Q270" s="255"/>
      <c r="R270" s="255"/>
      <c r="S270" s="255"/>
      <c r="T270" s="255"/>
      <c r="U270" s="288"/>
      <c r="V270" s="255"/>
    </row>
    <row r="271" spans="2:30" ht="14">
      <c r="B271" s="259"/>
      <c r="C271" s="260"/>
      <c r="D271" s="260"/>
      <c r="E271" s="260"/>
      <c r="F271" s="260"/>
      <c r="G271" s="261"/>
      <c r="H271" s="261"/>
      <c r="I271" s="261"/>
      <c r="J271" s="261"/>
      <c r="K271" s="261"/>
      <c r="L271" s="259"/>
      <c r="M271" s="260"/>
      <c r="N271" s="260"/>
      <c r="O271" s="260"/>
      <c r="P271" s="260"/>
      <c r="Q271" s="260"/>
      <c r="R271" s="260"/>
      <c r="S271" s="260"/>
      <c r="T271" s="260"/>
      <c r="U271" s="289"/>
      <c r="V271" s="260"/>
    </row>
    <row r="272" spans="2:30" ht="17.5" outlineLevel="1">
      <c r="B272" s="153"/>
      <c r="C272" s="150"/>
      <c r="D272" s="265" t="s">
        <v>467</v>
      </c>
      <c r="E272" s="267"/>
      <c r="F272" s="267"/>
      <c r="G272" s="266"/>
      <c r="H272" s="266"/>
      <c r="I272" s="266"/>
      <c r="J272" s="266"/>
      <c r="K272" s="266"/>
      <c r="L272" s="304"/>
      <c r="M272" s="267"/>
      <c r="N272" s="267"/>
      <c r="O272" s="267"/>
      <c r="P272" s="267"/>
      <c r="Q272" s="267"/>
      <c r="R272" s="267"/>
      <c r="S272" s="267"/>
      <c r="T272" s="267"/>
      <c r="U272" s="290"/>
      <c r="V272" s="267"/>
    </row>
    <row r="273" spans="2:23" ht="14">
      <c r="B273" s="259"/>
      <c r="C273" s="260"/>
      <c r="D273" s="260"/>
      <c r="E273" s="260"/>
      <c r="F273" s="260"/>
      <c r="G273" s="261"/>
      <c r="H273" s="261"/>
      <c r="I273" s="261"/>
      <c r="J273" s="261"/>
      <c r="K273" s="261"/>
      <c r="L273" s="259"/>
      <c r="M273" s="260"/>
      <c r="N273" s="260"/>
      <c r="O273" s="260"/>
      <c r="P273" s="260"/>
      <c r="Q273" s="260"/>
      <c r="R273" s="260"/>
      <c r="S273" s="260"/>
      <c r="T273" s="260"/>
      <c r="U273" s="289"/>
      <c r="V273" s="260"/>
    </row>
    <row r="274" spans="2:23" ht="49.5" customHeight="1" outlineLevel="1">
      <c r="B274" s="1409" t="s">
        <v>468</v>
      </c>
      <c r="C274" s="1411" t="s">
        <v>575</v>
      </c>
      <c r="D274" s="1412"/>
      <c r="E274" s="1412"/>
      <c r="F274" s="1412"/>
      <c r="G274" s="1412"/>
      <c r="H274" s="1412"/>
      <c r="I274" s="1413"/>
      <c r="L274" s="153"/>
      <c r="M274" s="192" t="s">
        <v>576</v>
      </c>
      <c r="N274" s="193" t="s">
        <v>576</v>
      </c>
      <c r="O274" s="193" t="s">
        <v>576</v>
      </c>
      <c r="P274" s="193" t="s">
        <v>576</v>
      </c>
      <c r="Q274" s="193" t="s">
        <v>576</v>
      </c>
      <c r="R274" s="193" t="s">
        <v>576</v>
      </c>
      <c r="S274" s="193" t="s">
        <v>576</v>
      </c>
      <c r="T274" s="276" t="s">
        <v>576</v>
      </c>
      <c r="U274" s="293" t="s">
        <v>576</v>
      </c>
      <c r="V274" s="193" t="s">
        <v>576</v>
      </c>
    </row>
    <row r="275" spans="2:23" outlineLevel="1">
      <c r="B275" s="1410"/>
      <c r="C275" s="1414"/>
      <c r="D275" s="1415"/>
      <c r="E275" s="1415"/>
      <c r="F275" s="1415"/>
      <c r="G275" s="1415"/>
      <c r="H275" s="1415"/>
      <c r="I275" s="1416"/>
      <c r="L275" s="153"/>
      <c r="M275" s="194" t="s">
        <v>469</v>
      </c>
      <c r="N275" s="195" t="s">
        <v>469</v>
      </c>
      <c r="O275" s="195" t="s">
        <v>469</v>
      </c>
      <c r="P275" s="195" t="s">
        <v>469</v>
      </c>
      <c r="Q275" s="195" t="s">
        <v>469</v>
      </c>
      <c r="R275" s="195" t="s">
        <v>469</v>
      </c>
      <c r="S275" s="195" t="s">
        <v>469</v>
      </c>
      <c r="T275" s="277" t="s">
        <v>469</v>
      </c>
      <c r="U275" s="294" t="s">
        <v>469</v>
      </c>
      <c r="V275" s="195" t="s">
        <v>469</v>
      </c>
    </row>
    <row r="276" spans="2:23" outlineLevel="1">
      <c r="B276" s="360" t="s">
        <v>577</v>
      </c>
      <c r="C276" s="723" t="str">
        <f>IF('R6a - Net Debt input'!D148 = "","",'R6a - Net Debt input'!D148)</f>
        <v/>
      </c>
      <c r="D276" s="724"/>
      <c r="E276" s="724"/>
      <c r="F276" s="724"/>
      <c r="G276" s="724"/>
      <c r="H276" s="724"/>
      <c r="I276" s="725"/>
      <c r="J276" s="200"/>
      <c r="K276" s="201"/>
      <c r="L276" s="202"/>
      <c r="M276" s="468">
        <v>0</v>
      </c>
      <c r="N276" s="468">
        <v>0</v>
      </c>
      <c r="O276" s="468">
        <v>0</v>
      </c>
      <c r="P276" s="468">
        <v>0</v>
      </c>
      <c r="Q276" s="468">
        <v>0</v>
      </c>
      <c r="R276" s="468">
        <v>0</v>
      </c>
      <c r="S276" s="468">
        <v>0</v>
      </c>
      <c r="T276" s="468">
        <v>0</v>
      </c>
      <c r="U276" s="468">
        <v>0</v>
      </c>
      <c r="V276" s="468">
        <v>0</v>
      </c>
    </row>
    <row r="277" spans="2:23" outlineLevel="1">
      <c r="B277" s="239" t="s">
        <v>578</v>
      </c>
      <c r="C277" s="723" t="str">
        <f>IF('R6a - Net Debt input'!D149 = "","",'R6a - Net Debt input'!D149)</f>
        <v/>
      </c>
      <c r="D277" s="724"/>
      <c r="E277" s="724"/>
      <c r="F277" s="724"/>
      <c r="G277" s="724"/>
      <c r="H277" s="724"/>
      <c r="I277" s="725"/>
      <c r="J277" s="200"/>
      <c r="K277" s="201"/>
      <c r="L277" s="202"/>
      <c r="M277" s="468">
        <v>0</v>
      </c>
      <c r="N277" s="468">
        <v>0</v>
      </c>
      <c r="O277" s="468">
        <v>0</v>
      </c>
      <c r="P277" s="468">
        <v>0</v>
      </c>
      <c r="Q277" s="468">
        <v>0</v>
      </c>
      <c r="R277" s="468">
        <v>0</v>
      </c>
      <c r="S277" s="468">
        <v>0</v>
      </c>
      <c r="T277" s="468">
        <v>0</v>
      </c>
      <c r="U277" s="468">
        <v>0</v>
      </c>
      <c r="V277" s="468">
        <v>0</v>
      </c>
    </row>
    <row r="278" spans="2:23" outlineLevel="1">
      <c r="B278" s="239" t="s">
        <v>579</v>
      </c>
      <c r="C278" s="723" t="str">
        <f>IF('R6a - Net Debt input'!D150 = "","",'R6a - Net Debt input'!D150)</f>
        <v/>
      </c>
      <c r="D278" s="724"/>
      <c r="E278" s="724"/>
      <c r="F278" s="724"/>
      <c r="G278" s="724"/>
      <c r="H278" s="724"/>
      <c r="I278" s="725"/>
      <c r="J278" s="200"/>
      <c r="K278" s="201"/>
      <c r="L278" s="202"/>
      <c r="M278" s="468">
        <v>0</v>
      </c>
      <c r="N278" s="468">
        <v>0</v>
      </c>
      <c r="O278" s="468">
        <v>0</v>
      </c>
      <c r="P278" s="468">
        <v>0</v>
      </c>
      <c r="Q278" s="468">
        <v>0</v>
      </c>
      <c r="R278" s="468">
        <v>0</v>
      </c>
      <c r="S278" s="468">
        <v>0</v>
      </c>
      <c r="T278" s="468">
        <v>0</v>
      </c>
      <c r="U278" s="468">
        <v>0</v>
      </c>
      <c r="V278" s="468">
        <v>0</v>
      </c>
    </row>
    <row r="279" spans="2:23" outlineLevel="1">
      <c r="B279" s="239" t="s">
        <v>580</v>
      </c>
      <c r="C279" s="723" t="str">
        <f>IF('R6a - Net Debt input'!D151 = "","",'R6a - Net Debt input'!D151)</f>
        <v/>
      </c>
      <c r="D279" s="724"/>
      <c r="E279" s="724"/>
      <c r="F279" s="724"/>
      <c r="G279" s="724"/>
      <c r="H279" s="724"/>
      <c r="I279" s="725"/>
      <c r="J279" s="200"/>
      <c r="K279" s="201"/>
      <c r="L279" s="202"/>
      <c r="M279" s="468">
        <v>0</v>
      </c>
      <c r="N279" s="468">
        <v>0</v>
      </c>
      <c r="O279" s="468">
        <v>0</v>
      </c>
      <c r="P279" s="468">
        <v>0</v>
      </c>
      <c r="Q279" s="468">
        <v>0</v>
      </c>
      <c r="R279" s="468">
        <v>0</v>
      </c>
      <c r="S279" s="468">
        <v>0</v>
      </c>
      <c r="T279" s="468">
        <v>0</v>
      </c>
      <c r="U279" s="468">
        <v>0</v>
      </c>
      <c r="V279" s="468">
        <v>0</v>
      </c>
    </row>
    <row r="280" spans="2:23" outlineLevel="1">
      <c r="B280" s="239" t="s">
        <v>581</v>
      </c>
      <c r="C280" s="723" t="str">
        <f>IF('R6a - Net Debt input'!D152 = "","",'R6a - Net Debt input'!D152)</f>
        <v/>
      </c>
      <c r="D280" s="724"/>
      <c r="E280" s="724"/>
      <c r="F280" s="724"/>
      <c r="G280" s="724"/>
      <c r="H280" s="724"/>
      <c r="I280" s="725"/>
      <c r="J280" s="200"/>
      <c r="K280" s="201"/>
      <c r="L280" s="202"/>
      <c r="M280" s="468">
        <v>0</v>
      </c>
      <c r="N280" s="468">
        <v>0</v>
      </c>
      <c r="O280" s="468">
        <v>0</v>
      </c>
      <c r="P280" s="468">
        <v>0</v>
      </c>
      <c r="Q280" s="468">
        <v>0</v>
      </c>
      <c r="R280" s="468">
        <v>0</v>
      </c>
      <c r="S280" s="468">
        <v>0</v>
      </c>
      <c r="T280" s="468">
        <v>0</v>
      </c>
      <c r="U280" s="468">
        <v>0</v>
      </c>
      <c r="V280" s="468">
        <v>0</v>
      </c>
    </row>
    <row r="281" spans="2:23" outlineLevel="1">
      <c r="B281" s="239" t="s">
        <v>582</v>
      </c>
      <c r="C281" s="723" t="str">
        <f>IF('R6a - Net Debt input'!D153 = "","",'R6a - Net Debt input'!D153)</f>
        <v/>
      </c>
      <c r="D281" s="724"/>
      <c r="E281" s="724"/>
      <c r="F281" s="724"/>
      <c r="G281" s="724"/>
      <c r="H281" s="724"/>
      <c r="I281" s="725"/>
      <c r="J281" s="200"/>
      <c r="K281" s="201"/>
      <c r="L281" s="202"/>
      <c r="M281" s="468">
        <v>0</v>
      </c>
      <c r="N281" s="468">
        <v>0</v>
      </c>
      <c r="O281" s="468">
        <v>0</v>
      </c>
      <c r="P281" s="468">
        <v>0</v>
      </c>
      <c r="Q281" s="468">
        <v>0</v>
      </c>
      <c r="R281" s="468">
        <v>0</v>
      </c>
      <c r="S281" s="468">
        <v>0</v>
      </c>
      <c r="T281" s="468">
        <v>0</v>
      </c>
      <c r="U281" s="468">
        <v>0</v>
      </c>
      <c r="V281" s="468">
        <v>0</v>
      </c>
    </row>
    <row r="282" spans="2:23" outlineLevel="1">
      <c r="B282" s="239" t="s">
        <v>583</v>
      </c>
      <c r="C282" s="723" t="str">
        <f>IF('R6a - Net Debt input'!D154 = "","",'R6a - Net Debt input'!D154)</f>
        <v/>
      </c>
      <c r="D282" s="724"/>
      <c r="E282" s="724"/>
      <c r="F282" s="724"/>
      <c r="G282" s="724"/>
      <c r="H282" s="724"/>
      <c r="I282" s="725"/>
      <c r="J282" s="200"/>
      <c r="K282" s="201"/>
      <c r="L282" s="202"/>
      <c r="M282" s="468">
        <v>0</v>
      </c>
      <c r="N282" s="468">
        <v>0</v>
      </c>
      <c r="O282" s="468">
        <v>0</v>
      </c>
      <c r="P282" s="468">
        <v>0</v>
      </c>
      <c r="Q282" s="468">
        <v>0</v>
      </c>
      <c r="R282" s="468">
        <v>0</v>
      </c>
      <c r="S282" s="468">
        <v>0</v>
      </c>
      <c r="T282" s="468">
        <v>0</v>
      </c>
      <c r="U282" s="468">
        <v>0</v>
      </c>
      <c r="V282" s="468">
        <v>0</v>
      </c>
    </row>
    <row r="283" spans="2:23" outlineLevel="1">
      <c r="B283" s="239" t="s">
        <v>584</v>
      </c>
      <c r="C283" s="723" t="str">
        <f>IF('R6a - Net Debt input'!D155 = "","",'R6a - Net Debt input'!D155)</f>
        <v/>
      </c>
      <c r="D283" s="724"/>
      <c r="E283" s="724"/>
      <c r="F283" s="724"/>
      <c r="G283" s="724"/>
      <c r="H283" s="724"/>
      <c r="I283" s="725"/>
      <c r="J283" s="200"/>
      <c r="K283" s="201"/>
      <c r="L283" s="202"/>
      <c r="M283" s="468">
        <v>0</v>
      </c>
      <c r="N283" s="468">
        <v>0</v>
      </c>
      <c r="O283" s="468">
        <v>0</v>
      </c>
      <c r="P283" s="468">
        <v>0</v>
      </c>
      <c r="Q283" s="468">
        <v>0</v>
      </c>
      <c r="R283" s="468">
        <v>0</v>
      </c>
      <c r="S283" s="468">
        <v>0</v>
      </c>
      <c r="T283" s="468">
        <v>0</v>
      </c>
      <c r="U283" s="468">
        <v>0</v>
      </c>
      <c r="V283" s="468">
        <v>0</v>
      </c>
    </row>
    <row r="284" spans="2:23" outlineLevel="1">
      <c r="B284" s="361" t="s">
        <v>585</v>
      </c>
      <c r="C284" s="723" t="str">
        <f>IF('R6a - Net Debt input'!D156 = "","",'R6a - Net Debt input'!D156)</f>
        <v/>
      </c>
      <c r="D284" s="724"/>
      <c r="E284" s="724"/>
      <c r="F284" s="724"/>
      <c r="G284" s="724"/>
      <c r="H284" s="724"/>
      <c r="I284" s="725"/>
      <c r="J284" s="200"/>
      <c r="K284" s="201"/>
      <c r="L284" s="202"/>
      <c r="M284" s="468">
        <v>0</v>
      </c>
      <c r="N284" s="468">
        <v>0</v>
      </c>
      <c r="O284" s="468">
        <v>0</v>
      </c>
      <c r="P284" s="468">
        <v>0</v>
      </c>
      <c r="Q284" s="468">
        <v>0</v>
      </c>
      <c r="R284" s="468">
        <v>0</v>
      </c>
      <c r="S284" s="468">
        <v>0</v>
      </c>
      <c r="T284" s="468">
        <v>0</v>
      </c>
      <c r="U284" s="468">
        <v>0</v>
      </c>
      <c r="V284" s="468">
        <v>0</v>
      </c>
    </row>
    <row r="285" spans="2:23" outlineLevel="1">
      <c r="B285" s="150"/>
      <c r="C285" s="150"/>
      <c r="D285" s="150"/>
      <c r="E285" s="150"/>
      <c r="F285" s="150"/>
      <c r="L285" s="981" t="s">
        <v>355</v>
      </c>
      <c r="M285" s="474">
        <f t="shared" ref="M285:V285" si="35">SUM(M276:M284)</f>
        <v>0</v>
      </c>
      <c r="N285" s="475">
        <f t="shared" si="35"/>
        <v>0</v>
      </c>
      <c r="O285" s="475">
        <f t="shared" si="35"/>
        <v>0</v>
      </c>
      <c r="P285" s="475">
        <f t="shared" si="35"/>
        <v>0</v>
      </c>
      <c r="Q285" s="475">
        <f t="shared" si="35"/>
        <v>0</v>
      </c>
      <c r="R285" s="475">
        <f t="shared" si="35"/>
        <v>0</v>
      </c>
      <c r="S285" s="475">
        <f t="shared" si="35"/>
        <v>0</v>
      </c>
      <c r="T285" s="476">
        <f t="shared" si="35"/>
        <v>0</v>
      </c>
      <c r="U285" s="477">
        <f t="shared" si="35"/>
        <v>0</v>
      </c>
      <c r="V285" s="475">
        <f t="shared" si="35"/>
        <v>0</v>
      </c>
    </row>
    <row r="286" spans="2:23" outlineLevel="1">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row>
    <row r="287" spans="2:23" ht="17.5" outlineLevel="1">
      <c r="C287" s="150"/>
      <c r="D287" s="265" t="s">
        <v>533</v>
      </c>
      <c r="E287" s="266"/>
      <c r="F287" s="266"/>
      <c r="G287" s="266"/>
      <c r="H287" s="266"/>
      <c r="I287" s="266"/>
      <c r="J287" s="266"/>
      <c r="K287" s="266"/>
      <c r="L287" s="304"/>
      <c r="M287" s="266"/>
      <c r="N287" s="266"/>
      <c r="O287" s="266"/>
      <c r="P287" s="266"/>
      <c r="Q287" s="266"/>
      <c r="R287" s="266"/>
      <c r="S287" s="266"/>
      <c r="T287" s="266"/>
      <c r="U287" s="284"/>
      <c r="V287" s="266"/>
    </row>
    <row r="288" spans="2:23" ht="14">
      <c r="B288" s="259"/>
      <c r="C288" s="260"/>
      <c r="D288" s="260"/>
      <c r="E288" s="260"/>
      <c r="F288" s="260"/>
      <c r="G288" s="261"/>
      <c r="H288" s="261"/>
      <c r="I288" s="261"/>
      <c r="J288" s="261"/>
      <c r="K288" s="261"/>
      <c r="L288" s="259"/>
      <c r="M288" s="260"/>
      <c r="N288" s="260"/>
      <c r="O288" s="260"/>
      <c r="P288" s="260"/>
      <c r="Q288" s="260"/>
      <c r="R288" s="260"/>
      <c r="S288" s="260"/>
      <c r="T288" s="260"/>
      <c r="U288" s="289"/>
      <c r="V288" s="260"/>
    </row>
    <row r="289" spans="2:22" ht="49.5" customHeight="1" outlineLevel="1">
      <c r="B289" s="1409" t="s">
        <v>468</v>
      </c>
      <c r="C289" s="1411" t="s">
        <v>575</v>
      </c>
      <c r="D289" s="1412"/>
      <c r="E289" s="1412"/>
      <c r="F289" s="1412"/>
      <c r="G289" s="1412"/>
      <c r="H289" s="1412"/>
      <c r="I289" s="1413"/>
      <c r="L289" s="153"/>
      <c r="M289" s="192" t="s">
        <v>576</v>
      </c>
      <c r="N289" s="193" t="s">
        <v>576</v>
      </c>
      <c r="O289" s="193" t="s">
        <v>576</v>
      </c>
      <c r="P289" s="193" t="s">
        <v>576</v>
      </c>
      <c r="Q289" s="193" t="s">
        <v>576</v>
      </c>
      <c r="R289" s="193" t="s">
        <v>576</v>
      </c>
      <c r="S289" s="193" t="s">
        <v>576</v>
      </c>
      <c r="T289" s="276" t="s">
        <v>576</v>
      </c>
      <c r="U289" s="293" t="s">
        <v>576</v>
      </c>
      <c r="V289" s="193" t="s">
        <v>576</v>
      </c>
    </row>
    <row r="290" spans="2:22" outlineLevel="1">
      <c r="B290" s="1410"/>
      <c r="C290" s="1414"/>
      <c r="D290" s="1415"/>
      <c r="E290" s="1415"/>
      <c r="F290" s="1415"/>
      <c r="G290" s="1415"/>
      <c r="H290" s="1415"/>
      <c r="I290" s="1416"/>
      <c r="L290" s="153"/>
      <c r="M290" s="194" t="s">
        <v>469</v>
      </c>
      <c r="N290" s="195" t="s">
        <v>469</v>
      </c>
      <c r="O290" s="195" t="s">
        <v>469</v>
      </c>
      <c r="P290" s="195" t="s">
        <v>469</v>
      </c>
      <c r="Q290" s="195" t="s">
        <v>469</v>
      </c>
      <c r="R290" s="195" t="s">
        <v>469</v>
      </c>
      <c r="S290" s="195" t="s">
        <v>469</v>
      </c>
      <c r="T290" s="277" t="s">
        <v>469</v>
      </c>
      <c r="U290" s="294" t="s">
        <v>469</v>
      </c>
      <c r="V290" s="195" t="s">
        <v>469</v>
      </c>
    </row>
    <row r="291" spans="2:22" outlineLevel="1">
      <c r="B291" s="360" t="s">
        <v>577</v>
      </c>
      <c r="C291" s="723" t="str">
        <f>IF('R6a - Net Debt input'!D148 = "","",'R6a - Net Debt input'!D148)</f>
        <v/>
      </c>
      <c r="D291" s="724"/>
      <c r="E291" s="724"/>
      <c r="F291" s="724"/>
      <c r="G291" s="724"/>
      <c r="H291" s="724"/>
      <c r="I291" s="725"/>
      <c r="J291" s="200"/>
      <c r="K291" s="201"/>
      <c r="L291" s="202"/>
      <c r="M291" s="468">
        <v>0</v>
      </c>
      <c r="N291" s="468">
        <v>0</v>
      </c>
      <c r="O291" s="468">
        <v>0</v>
      </c>
      <c r="P291" s="468">
        <v>0</v>
      </c>
      <c r="Q291" s="468">
        <v>0</v>
      </c>
      <c r="R291" s="468">
        <v>0</v>
      </c>
      <c r="S291" s="468">
        <v>0</v>
      </c>
      <c r="T291" s="468">
        <v>0</v>
      </c>
      <c r="U291" s="468">
        <v>0</v>
      </c>
      <c r="V291" s="468">
        <v>0</v>
      </c>
    </row>
    <row r="292" spans="2:22" outlineLevel="1">
      <c r="B292" s="239" t="s">
        <v>578</v>
      </c>
      <c r="C292" s="723" t="str">
        <f>IF('R6a - Net Debt input'!D149 = "","",'R6a - Net Debt input'!D149)</f>
        <v/>
      </c>
      <c r="D292" s="724"/>
      <c r="E292" s="724"/>
      <c r="F292" s="724"/>
      <c r="G292" s="724"/>
      <c r="H292" s="724"/>
      <c r="I292" s="725"/>
      <c r="J292" s="200"/>
      <c r="K292" s="201"/>
      <c r="L292" s="202"/>
      <c r="M292" s="468">
        <v>0</v>
      </c>
      <c r="N292" s="468">
        <v>0</v>
      </c>
      <c r="O292" s="468">
        <v>0</v>
      </c>
      <c r="P292" s="468">
        <v>0</v>
      </c>
      <c r="Q292" s="468">
        <v>0</v>
      </c>
      <c r="R292" s="468">
        <v>0</v>
      </c>
      <c r="S292" s="468">
        <v>0</v>
      </c>
      <c r="T292" s="468">
        <v>0</v>
      </c>
      <c r="U292" s="468">
        <v>0</v>
      </c>
      <c r="V292" s="468">
        <v>0</v>
      </c>
    </row>
    <row r="293" spans="2:22" outlineLevel="1">
      <c r="B293" s="239" t="s">
        <v>579</v>
      </c>
      <c r="C293" s="723" t="str">
        <f>IF('R6a - Net Debt input'!D150 = "","",'R6a - Net Debt input'!D150)</f>
        <v/>
      </c>
      <c r="D293" s="724"/>
      <c r="E293" s="724"/>
      <c r="F293" s="724"/>
      <c r="G293" s="724"/>
      <c r="H293" s="724"/>
      <c r="I293" s="725"/>
      <c r="J293" s="200"/>
      <c r="K293" s="201"/>
      <c r="L293" s="202"/>
      <c r="M293" s="468">
        <v>0</v>
      </c>
      <c r="N293" s="468">
        <v>0</v>
      </c>
      <c r="O293" s="468">
        <v>0</v>
      </c>
      <c r="P293" s="468">
        <v>0</v>
      </c>
      <c r="Q293" s="468">
        <v>0</v>
      </c>
      <c r="R293" s="468">
        <v>0</v>
      </c>
      <c r="S293" s="468">
        <v>0</v>
      </c>
      <c r="T293" s="468">
        <v>0</v>
      </c>
      <c r="U293" s="468">
        <v>0</v>
      </c>
      <c r="V293" s="468">
        <v>0</v>
      </c>
    </row>
    <row r="294" spans="2:22" outlineLevel="1">
      <c r="B294" s="239" t="s">
        <v>580</v>
      </c>
      <c r="C294" s="723" t="str">
        <f>IF('R6a - Net Debt input'!D151 = "","",'R6a - Net Debt input'!D151)</f>
        <v/>
      </c>
      <c r="D294" s="724"/>
      <c r="E294" s="724"/>
      <c r="F294" s="724"/>
      <c r="G294" s="724"/>
      <c r="H294" s="724"/>
      <c r="I294" s="725"/>
      <c r="J294" s="200"/>
      <c r="K294" s="201"/>
      <c r="L294" s="202"/>
      <c r="M294" s="468">
        <v>0</v>
      </c>
      <c r="N294" s="468">
        <v>0</v>
      </c>
      <c r="O294" s="468">
        <v>0</v>
      </c>
      <c r="P294" s="468">
        <v>0</v>
      </c>
      <c r="Q294" s="468">
        <v>0</v>
      </c>
      <c r="R294" s="468">
        <v>0</v>
      </c>
      <c r="S294" s="468">
        <v>0</v>
      </c>
      <c r="T294" s="468">
        <v>0</v>
      </c>
      <c r="U294" s="468">
        <v>0</v>
      </c>
      <c r="V294" s="468">
        <v>0</v>
      </c>
    </row>
    <row r="295" spans="2:22" outlineLevel="1">
      <c r="B295" s="239" t="s">
        <v>581</v>
      </c>
      <c r="C295" s="723" t="str">
        <f>IF('R6a - Net Debt input'!D152 = "","",'R6a - Net Debt input'!D152)</f>
        <v/>
      </c>
      <c r="D295" s="724"/>
      <c r="E295" s="724"/>
      <c r="F295" s="724"/>
      <c r="G295" s="724"/>
      <c r="H295" s="724"/>
      <c r="I295" s="725"/>
      <c r="J295" s="200"/>
      <c r="K295" s="201"/>
      <c r="L295" s="202"/>
      <c r="M295" s="468">
        <v>0</v>
      </c>
      <c r="N295" s="468">
        <v>0</v>
      </c>
      <c r="O295" s="468">
        <v>0</v>
      </c>
      <c r="P295" s="468">
        <v>0</v>
      </c>
      <c r="Q295" s="468">
        <v>0</v>
      </c>
      <c r="R295" s="468">
        <v>0</v>
      </c>
      <c r="S295" s="468">
        <v>0</v>
      </c>
      <c r="T295" s="468">
        <v>0</v>
      </c>
      <c r="U295" s="468">
        <v>0</v>
      </c>
      <c r="V295" s="468">
        <v>0</v>
      </c>
    </row>
    <row r="296" spans="2:22" outlineLevel="1">
      <c r="B296" s="239" t="s">
        <v>582</v>
      </c>
      <c r="C296" s="723" t="str">
        <f>IF('R6a - Net Debt input'!D153 = "","",'R6a - Net Debt input'!D153)</f>
        <v/>
      </c>
      <c r="D296" s="724"/>
      <c r="E296" s="724"/>
      <c r="F296" s="724"/>
      <c r="G296" s="724"/>
      <c r="H296" s="724"/>
      <c r="I296" s="725"/>
      <c r="J296" s="200"/>
      <c r="K296" s="201"/>
      <c r="L296" s="202"/>
      <c r="M296" s="468">
        <v>0</v>
      </c>
      <c r="N296" s="468">
        <v>0</v>
      </c>
      <c r="O296" s="468">
        <v>0</v>
      </c>
      <c r="P296" s="468">
        <v>0</v>
      </c>
      <c r="Q296" s="468">
        <v>0</v>
      </c>
      <c r="R296" s="468">
        <v>0</v>
      </c>
      <c r="S296" s="468">
        <v>0</v>
      </c>
      <c r="T296" s="468">
        <v>0</v>
      </c>
      <c r="U296" s="468">
        <v>0</v>
      </c>
      <c r="V296" s="468">
        <v>0</v>
      </c>
    </row>
    <row r="297" spans="2:22" outlineLevel="1">
      <c r="B297" s="239" t="s">
        <v>583</v>
      </c>
      <c r="C297" s="723" t="str">
        <f>IF('R6a - Net Debt input'!D154 = "","",'R6a - Net Debt input'!D154)</f>
        <v/>
      </c>
      <c r="D297" s="724"/>
      <c r="E297" s="724"/>
      <c r="F297" s="724"/>
      <c r="G297" s="724"/>
      <c r="H297" s="724"/>
      <c r="I297" s="725"/>
      <c r="J297" s="200"/>
      <c r="K297" s="201"/>
      <c r="L297" s="202"/>
      <c r="M297" s="468">
        <v>0</v>
      </c>
      <c r="N297" s="468">
        <v>0</v>
      </c>
      <c r="O297" s="468">
        <v>0</v>
      </c>
      <c r="P297" s="468">
        <v>0</v>
      </c>
      <c r="Q297" s="468">
        <v>0</v>
      </c>
      <c r="R297" s="468">
        <v>0</v>
      </c>
      <c r="S297" s="468">
        <v>0</v>
      </c>
      <c r="T297" s="468">
        <v>0</v>
      </c>
      <c r="U297" s="468">
        <v>0</v>
      </c>
      <c r="V297" s="468">
        <v>0</v>
      </c>
    </row>
    <row r="298" spans="2:22" outlineLevel="1">
      <c r="B298" s="239" t="s">
        <v>584</v>
      </c>
      <c r="C298" s="723" t="str">
        <f>IF('R6a - Net Debt input'!D155 = "","",'R6a - Net Debt input'!D155)</f>
        <v/>
      </c>
      <c r="D298" s="724"/>
      <c r="E298" s="724"/>
      <c r="F298" s="724"/>
      <c r="G298" s="724"/>
      <c r="H298" s="724"/>
      <c r="I298" s="725"/>
      <c r="J298" s="200"/>
      <c r="K298" s="201"/>
      <c r="L298" s="202"/>
      <c r="M298" s="468">
        <v>0</v>
      </c>
      <c r="N298" s="468">
        <v>0</v>
      </c>
      <c r="O298" s="468">
        <v>0</v>
      </c>
      <c r="P298" s="468">
        <v>0</v>
      </c>
      <c r="Q298" s="468">
        <v>0</v>
      </c>
      <c r="R298" s="468">
        <v>0</v>
      </c>
      <c r="S298" s="468">
        <v>0</v>
      </c>
      <c r="T298" s="468">
        <v>0</v>
      </c>
      <c r="U298" s="468">
        <v>0</v>
      </c>
      <c r="V298" s="468">
        <v>0</v>
      </c>
    </row>
    <row r="299" spans="2:22" outlineLevel="1">
      <c r="B299" s="361" t="s">
        <v>585</v>
      </c>
      <c r="C299" s="723" t="str">
        <f>IF('R6a - Net Debt input'!D156 = "","",'R6a - Net Debt input'!D156)</f>
        <v/>
      </c>
      <c r="D299" s="724"/>
      <c r="E299" s="724"/>
      <c r="F299" s="724"/>
      <c r="G299" s="724"/>
      <c r="H299" s="724"/>
      <c r="I299" s="725"/>
      <c r="J299" s="200"/>
      <c r="K299" s="201"/>
      <c r="L299" s="202"/>
      <c r="M299" s="468">
        <v>0</v>
      </c>
      <c r="N299" s="468">
        <v>0</v>
      </c>
      <c r="O299" s="468">
        <v>0</v>
      </c>
      <c r="P299" s="468">
        <v>0</v>
      </c>
      <c r="Q299" s="468">
        <v>0</v>
      </c>
      <c r="R299" s="468">
        <v>0</v>
      </c>
      <c r="S299" s="468">
        <v>0</v>
      </c>
      <c r="T299" s="468">
        <v>0</v>
      </c>
      <c r="U299" s="468">
        <v>0</v>
      </c>
      <c r="V299" s="468">
        <v>0</v>
      </c>
    </row>
    <row r="300" spans="2:22" outlineLevel="1">
      <c r="B300" s="150"/>
      <c r="C300" s="150"/>
      <c r="D300" s="150"/>
      <c r="E300" s="150"/>
      <c r="F300" s="150"/>
      <c r="L300" s="981" t="s">
        <v>355</v>
      </c>
      <c r="M300" s="474">
        <f t="shared" ref="M300:V300" si="36">SUM(M291:M299)</f>
        <v>0</v>
      </c>
      <c r="N300" s="475">
        <f t="shared" si="36"/>
        <v>0</v>
      </c>
      <c r="O300" s="475">
        <f t="shared" si="36"/>
        <v>0</v>
      </c>
      <c r="P300" s="475">
        <f t="shared" si="36"/>
        <v>0</v>
      </c>
      <c r="Q300" s="475">
        <f t="shared" si="36"/>
        <v>0</v>
      </c>
      <c r="R300" s="475">
        <f t="shared" si="36"/>
        <v>0</v>
      </c>
      <c r="S300" s="475">
        <f t="shared" si="36"/>
        <v>0</v>
      </c>
      <c r="T300" s="476">
        <f t="shared" si="36"/>
        <v>0</v>
      </c>
      <c r="U300" s="477">
        <f t="shared" si="36"/>
        <v>0</v>
      </c>
      <c r="V300" s="475">
        <f t="shared" si="36"/>
        <v>0</v>
      </c>
    </row>
    <row r="301" spans="2:22">
      <c r="D301" s="150"/>
      <c r="E301" s="150"/>
      <c r="F301" s="150"/>
      <c r="L301" s="150"/>
      <c r="M301" s="150"/>
      <c r="N301" s="150"/>
      <c r="O301" s="150"/>
      <c r="P301" s="150"/>
      <c r="Q301" s="150"/>
      <c r="R301" s="150"/>
      <c r="S301" s="150"/>
      <c r="T301" s="150"/>
      <c r="U301" s="287"/>
      <c r="V301" s="150"/>
    </row>
    <row r="302" spans="2:22" ht="14">
      <c r="B302" s="254" t="s">
        <v>586</v>
      </c>
      <c r="C302" s="255" t="s">
        <v>587</v>
      </c>
      <c r="D302" s="255"/>
      <c r="E302" s="255"/>
      <c r="F302" s="255"/>
      <c r="G302" s="256"/>
      <c r="H302" s="256"/>
      <c r="I302" s="256"/>
      <c r="J302" s="256"/>
      <c r="K302" s="256"/>
      <c r="L302" s="254"/>
      <c r="M302" s="255"/>
      <c r="N302" s="255"/>
      <c r="O302" s="255"/>
      <c r="P302" s="255"/>
      <c r="Q302" s="255"/>
      <c r="R302" s="255"/>
      <c r="S302" s="255"/>
      <c r="T302" s="255"/>
      <c r="U302" s="288"/>
      <c r="V302" s="255"/>
    </row>
    <row r="303" spans="2:22" ht="14">
      <c r="B303" s="259"/>
      <c r="C303" s="260"/>
      <c r="D303" s="260"/>
      <c r="E303" s="260"/>
      <c r="F303" s="260"/>
      <c r="G303" s="261"/>
      <c r="H303" s="261"/>
      <c r="I303" s="261"/>
      <c r="J303" s="261"/>
      <c r="K303" s="261"/>
      <c r="L303" s="259"/>
      <c r="M303" s="260"/>
      <c r="N303" s="260"/>
      <c r="O303" s="260"/>
      <c r="P303" s="260"/>
      <c r="Q303" s="260"/>
      <c r="R303" s="260"/>
      <c r="S303" s="260"/>
      <c r="T303" s="260"/>
      <c r="U303" s="289"/>
      <c r="V303" s="260"/>
    </row>
    <row r="304" spans="2:22" ht="17.5" outlineLevel="1">
      <c r="B304" s="153"/>
      <c r="C304" s="150"/>
      <c r="D304" s="265" t="s">
        <v>467</v>
      </c>
      <c r="E304" s="267"/>
      <c r="F304" s="267"/>
      <c r="G304" s="266"/>
      <c r="H304" s="266"/>
      <c r="I304" s="266"/>
      <c r="J304" s="266"/>
      <c r="K304" s="266"/>
      <c r="L304" s="304"/>
      <c r="M304" s="267"/>
      <c r="N304" s="267"/>
      <c r="O304" s="267"/>
      <c r="P304" s="267"/>
      <c r="Q304" s="267"/>
      <c r="R304" s="267"/>
      <c r="S304" s="267"/>
      <c r="T304" s="267"/>
      <c r="U304" s="290"/>
      <c r="V304" s="267"/>
    </row>
    <row r="305" spans="2:23" ht="14">
      <c r="B305" s="259"/>
      <c r="C305" s="260"/>
      <c r="D305" s="260"/>
      <c r="E305" s="260"/>
      <c r="F305" s="260"/>
      <c r="G305" s="261"/>
      <c r="H305" s="261"/>
      <c r="I305" s="261"/>
      <c r="J305" s="261"/>
      <c r="K305" s="261"/>
      <c r="L305" s="259"/>
      <c r="M305" s="260"/>
      <c r="N305" s="260"/>
      <c r="O305" s="260"/>
      <c r="P305" s="260"/>
      <c r="Q305" s="260"/>
      <c r="R305" s="260"/>
      <c r="S305" s="260"/>
      <c r="T305" s="260"/>
      <c r="U305" s="289"/>
      <c r="V305" s="260"/>
    </row>
    <row r="306" spans="2:23" ht="49.5" customHeight="1" outlineLevel="1">
      <c r="B306" s="1409" t="s">
        <v>468</v>
      </c>
      <c r="C306" s="1411" t="s">
        <v>575</v>
      </c>
      <c r="D306" s="1412"/>
      <c r="E306" s="1412"/>
      <c r="F306" s="1412"/>
      <c r="G306" s="1412"/>
      <c r="H306" s="1412"/>
      <c r="I306" s="1413"/>
      <c r="L306" s="153"/>
      <c r="M306" s="192" t="s">
        <v>576</v>
      </c>
      <c r="N306" s="193" t="s">
        <v>576</v>
      </c>
      <c r="O306" s="193" t="s">
        <v>576</v>
      </c>
      <c r="P306" s="193" t="s">
        <v>576</v>
      </c>
      <c r="Q306" s="193" t="s">
        <v>576</v>
      </c>
      <c r="R306" s="193" t="s">
        <v>576</v>
      </c>
      <c r="S306" s="193" t="s">
        <v>576</v>
      </c>
      <c r="T306" s="276" t="s">
        <v>576</v>
      </c>
      <c r="U306" s="293" t="s">
        <v>576</v>
      </c>
      <c r="V306" s="193" t="s">
        <v>576</v>
      </c>
    </row>
    <row r="307" spans="2:23" outlineLevel="1">
      <c r="B307" s="1410"/>
      <c r="C307" s="1414"/>
      <c r="D307" s="1415"/>
      <c r="E307" s="1415"/>
      <c r="F307" s="1415"/>
      <c r="G307" s="1415"/>
      <c r="H307" s="1415"/>
      <c r="I307" s="1416"/>
      <c r="L307" s="153"/>
      <c r="M307" s="194" t="s">
        <v>469</v>
      </c>
      <c r="N307" s="195" t="s">
        <v>469</v>
      </c>
      <c r="O307" s="195" t="s">
        <v>469</v>
      </c>
      <c r="P307" s="195" t="s">
        <v>469</v>
      </c>
      <c r="Q307" s="195" t="s">
        <v>469</v>
      </c>
      <c r="R307" s="195" t="s">
        <v>469</v>
      </c>
      <c r="S307" s="195" t="s">
        <v>469</v>
      </c>
      <c r="T307" s="277" t="s">
        <v>469</v>
      </c>
      <c r="U307" s="294" t="s">
        <v>469</v>
      </c>
      <c r="V307" s="195" t="s">
        <v>469</v>
      </c>
    </row>
    <row r="308" spans="2:23" outlineLevel="1">
      <c r="B308" s="360" t="s">
        <v>588</v>
      </c>
      <c r="C308" s="723" t="str">
        <f>IF('R6a - Net Debt input'!D164 = "","",'R6a - Net Debt input'!D164)</f>
        <v/>
      </c>
      <c r="D308" s="724"/>
      <c r="E308" s="724"/>
      <c r="F308" s="724"/>
      <c r="G308" s="724"/>
      <c r="H308" s="724"/>
      <c r="I308" s="725"/>
      <c r="J308" s="200"/>
      <c r="K308" s="201"/>
      <c r="L308" s="202"/>
      <c r="M308" s="468">
        <v>0</v>
      </c>
      <c r="N308" s="468">
        <v>0</v>
      </c>
      <c r="O308" s="468">
        <v>0</v>
      </c>
      <c r="P308" s="468">
        <v>0</v>
      </c>
      <c r="Q308" s="468">
        <v>0</v>
      </c>
      <c r="R308" s="468">
        <v>0</v>
      </c>
      <c r="S308" s="468">
        <v>0</v>
      </c>
      <c r="T308" s="468">
        <v>0</v>
      </c>
      <c r="U308" s="468">
        <v>0</v>
      </c>
      <c r="V308" s="468">
        <v>0</v>
      </c>
    </row>
    <row r="309" spans="2:23" outlineLevel="1">
      <c r="B309" s="360" t="s">
        <v>589</v>
      </c>
      <c r="C309" s="723" t="str">
        <f>IF('R6a - Net Debt input'!D165 = "","",'R6a - Net Debt input'!D165)</f>
        <v/>
      </c>
      <c r="D309" s="724"/>
      <c r="E309" s="724"/>
      <c r="F309" s="724"/>
      <c r="G309" s="724"/>
      <c r="H309" s="724"/>
      <c r="I309" s="725"/>
      <c r="J309" s="200"/>
      <c r="K309" s="201"/>
      <c r="L309" s="202"/>
      <c r="M309" s="468">
        <v>0</v>
      </c>
      <c r="N309" s="468">
        <v>0</v>
      </c>
      <c r="O309" s="468">
        <v>0</v>
      </c>
      <c r="P309" s="468">
        <v>0</v>
      </c>
      <c r="Q309" s="468">
        <v>0</v>
      </c>
      <c r="R309" s="468">
        <v>0</v>
      </c>
      <c r="S309" s="468">
        <v>0</v>
      </c>
      <c r="T309" s="468">
        <v>0</v>
      </c>
      <c r="U309" s="468">
        <v>0</v>
      </c>
      <c r="V309" s="468">
        <v>0</v>
      </c>
    </row>
    <row r="310" spans="2:23" outlineLevel="1">
      <c r="B310" s="360" t="s">
        <v>590</v>
      </c>
      <c r="C310" s="723" t="str">
        <f>IF('R6a - Net Debt input'!D166 = "","",'R6a - Net Debt input'!D166)</f>
        <v/>
      </c>
      <c r="D310" s="724"/>
      <c r="E310" s="724"/>
      <c r="F310" s="724"/>
      <c r="G310" s="724"/>
      <c r="H310" s="724"/>
      <c r="I310" s="725"/>
      <c r="J310" s="200"/>
      <c r="K310" s="201"/>
      <c r="L310" s="202"/>
      <c r="M310" s="468">
        <v>0</v>
      </c>
      <c r="N310" s="468">
        <v>0</v>
      </c>
      <c r="O310" s="468">
        <v>0</v>
      </c>
      <c r="P310" s="468">
        <v>0</v>
      </c>
      <c r="Q310" s="468">
        <v>0</v>
      </c>
      <c r="R310" s="468">
        <v>0</v>
      </c>
      <c r="S310" s="468">
        <v>0</v>
      </c>
      <c r="T310" s="468">
        <v>0</v>
      </c>
      <c r="U310" s="468">
        <v>0</v>
      </c>
      <c r="V310" s="468">
        <v>0</v>
      </c>
    </row>
    <row r="311" spans="2:23" outlineLevel="1">
      <c r="B311" s="360" t="s">
        <v>591</v>
      </c>
      <c r="C311" s="723" t="str">
        <f>IF('R6a - Net Debt input'!D167 = "","",'R6a - Net Debt input'!D167)</f>
        <v/>
      </c>
      <c r="D311" s="724"/>
      <c r="E311" s="724"/>
      <c r="F311" s="724"/>
      <c r="G311" s="724"/>
      <c r="H311" s="724"/>
      <c r="I311" s="725"/>
      <c r="J311" s="200"/>
      <c r="K311" s="201"/>
      <c r="L311" s="202"/>
      <c r="M311" s="468">
        <v>0</v>
      </c>
      <c r="N311" s="468">
        <v>0</v>
      </c>
      <c r="O311" s="468">
        <v>0</v>
      </c>
      <c r="P311" s="468">
        <v>0</v>
      </c>
      <c r="Q311" s="468">
        <v>0</v>
      </c>
      <c r="R311" s="468">
        <v>0</v>
      </c>
      <c r="S311" s="468">
        <v>0</v>
      </c>
      <c r="T311" s="468">
        <v>0</v>
      </c>
      <c r="U311" s="468">
        <v>0</v>
      </c>
      <c r="V311" s="468">
        <v>0</v>
      </c>
    </row>
    <row r="312" spans="2:23" outlineLevel="1">
      <c r="B312" s="360" t="s">
        <v>592</v>
      </c>
      <c r="C312" s="723" t="str">
        <f>IF('R6a - Net Debt input'!D168 = "","",'R6a - Net Debt input'!D168)</f>
        <v/>
      </c>
      <c r="D312" s="724"/>
      <c r="E312" s="724"/>
      <c r="F312" s="724"/>
      <c r="G312" s="724"/>
      <c r="H312" s="724"/>
      <c r="I312" s="725"/>
      <c r="J312" s="200"/>
      <c r="K312" s="201"/>
      <c r="L312" s="202"/>
      <c r="M312" s="468">
        <v>0</v>
      </c>
      <c r="N312" s="468">
        <v>0</v>
      </c>
      <c r="O312" s="468">
        <v>0</v>
      </c>
      <c r="P312" s="468">
        <v>0</v>
      </c>
      <c r="Q312" s="468">
        <v>0</v>
      </c>
      <c r="R312" s="468">
        <v>0</v>
      </c>
      <c r="S312" s="468">
        <v>0</v>
      </c>
      <c r="T312" s="468">
        <v>0</v>
      </c>
      <c r="U312" s="468">
        <v>0</v>
      </c>
      <c r="V312" s="468">
        <v>0</v>
      </c>
    </row>
    <row r="313" spans="2:23" outlineLevel="1">
      <c r="B313" s="360" t="s">
        <v>593</v>
      </c>
      <c r="C313" s="723" t="str">
        <f>IF('R6a - Net Debt input'!D169 = "","",'R6a - Net Debt input'!D169)</f>
        <v/>
      </c>
      <c r="D313" s="724"/>
      <c r="E313" s="724"/>
      <c r="F313" s="724"/>
      <c r="G313" s="724"/>
      <c r="H313" s="724"/>
      <c r="I313" s="725"/>
      <c r="J313" s="200"/>
      <c r="K313" s="201"/>
      <c r="L313" s="202"/>
      <c r="M313" s="468">
        <v>0</v>
      </c>
      <c r="N313" s="468">
        <v>0</v>
      </c>
      <c r="O313" s="468">
        <v>0</v>
      </c>
      <c r="P313" s="468">
        <v>0</v>
      </c>
      <c r="Q313" s="468">
        <v>0</v>
      </c>
      <c r="R313" s="468">
        <v>0</v>
      </c>
      <c r="S313" s="468">
        <v>0</v>
      </c>
      <c r="T313" s="468">
        <v>0</v>
      </c>
      <c r="U313" s="468">
        <v>0</v>
      </c>
      <c r="V313" s="468">
        <v>0</v>
      </c>
    </row>
    <row r="314" spans="2:23" outlineLevel="1">
      <c r="B314" s="360" t="s">
        <v>594</v>
      </c>
      <c r="C314" s="723" t="str">
        <f>IF('R6a - Net Debt input'!D170 = "","",'R6a - Net Debt input'!D170)</f>
        <v/>
      </c>
      <c r="D314" s="724"/>
      <c r="E314" s="724"/>
      <c r="F314" s="724"/>
      <c r="G314" s="724"/>
      <c r="H314" s="724"/>
      <c r="I314" s="725"/>
      <c r="J314" s="200"/>
      <c r="K314" s="201"/>
      <c r="L314" s="202"/>
      <c r="M314" s="468">
        <v>0</v>
      </c>
      <c r="N314" s="468">
        <v>0</v>
      </c>
      <c r="O314" s="468">
        <v>0</v>
      </c>
      <c r="P314" s="468">
        <v>0</v>
      </c>
      <c r="Q314" s="468">
        <v>0</v>
      </c>
      <c r="R314" s="468">
        <v>0</v>
      </c>
      <c r="S314" s="468">
        <v>0</v>
      </c>
      <c r="T314" s="468">
        <v>0</v>
      </c>
      <c r="U314" s="468">
        <v>0</v>
      </c>
      <c r="V314" s="468">
        <v>0</v>
      </c>
    </row>
    <row r="315" spans="2:23" outlineLevel="1">
      <c r="B315" s="360" t="s">
        <v>595</v>
      </c>
      <c r="C315" s="723" t="str">
        <f>IF('R6a - Net Debt input'!D171 = "","",'R6a - Net Debt input'!D171)</f>
        <v/>
      </c>
      <c r="D315" s="724"/>
      <c r="E315" s="724"/>
      <c r="F315" s="724"/>
      <c r="G315" s="724"/>
      <c r="H315" s="724"/>
      <c r="I315" s="725"/>
      <c r="J315" s="200"/>
      <c r="K315" s="201"/>
      <c r="L315" s="202"/>
      <c r="M315" s="468">
        <v>0</v>
      </c>
      <c r="N315" s="468">
        <v>0</v>
      </c>
      <c r="O315" s="468">
        <v>0</v>
      </c>
      <c r="P315" s="468">
        <v>0</v>
      </c>
      <c r="Q315" s="468">
        <v>0</v>
      </c>
      <c r="R315" s="468">
        <v>0</v>
      </c>
      <c r="S315" s="468">
        <v>0</v>
      </c>
      <c r="T315" s="468">
        <v>0</v>
      </c>
      <c r="U315" s="468">
        <v>0</v>
      </c>
      <c r="V315" s="468">
        <v>0</v>
      </c>
    </row>
    <row r="316" spans="2:23" outlineLevel="1">
      <c r="B316" s="360" t="s">
        <v>596</v>
      </c>
      <c r="C316" s="723" t="str">
        <f>IF('R6a - Net Debt input'!D172 = "","",'R6a - Net Debt input'!D172)</f>
        <v/>
      </c>
      <c r="D316" s="724"/>
      <c r="E316" s="724"/>
      <c r="F316" s="724"/>
      <c r="G316" s="724"/>
      <c r="H316" s="724"/>
      <c r="I316" s="725"/>
      <c r="J316" s="200"/>
      <c r="K316" s="201"/>
      <c r="L316" s="202"/>
      <c r="M316" s="468">
        <v>0</v>
      </c>
      <c r="N316" s="468">
        <v>0</v>
      </c>
      <c r="O316" s="468">
        <v>0</v>
      </c>
      <c r="P316" s="468">
        <v>0</v>
      </c>
      <c r="Q316" s="468">
        <v>0</v>
      </c>
      <c r="R316" s="468">
        <v>0</v>
      </c>
      <c r="S316" s="468">
        <v>0</v>
      </c>
      <c r="T316" s="468">
        <v>0</v>
      </c>
      <c r="U316" s="468">
        <v>0</v>
      </c>
      <c r="V316" s="468">
        <v>0</v>
      </c>
    </row>
    <row r="317" spans="2:23" outlineLevel="1">
      <c r="B317" s="150"/>
      <c r="C317" s="150"/>
      <c r="D317" s="150"/>
      <c r="E317" s="150"/>
      <c r="F317" s="150"/>
      <c r="L317" s="981" t="s">
        <v>355</v>
      </c>
      <c r="M317" s="474">
        <f t="shared" ref="M317:V317" si="37">SUM(M308:M316)</f>
        <v>0</v>
      </c>
      <c r="N317" s="475">
        <f t="shared" si="37"/>
        <v>0</v>
      </c>
      <c r="O317" s="475">
        <f t="shared" si="37"/>
        <v>0</v>
      </c>
      <c r="P317" s="475">
        <f t="shared" si="37"/>
        <v>0</v>
      </c>
      <c r="Q317" s="475">
        <f t="shared" si="37"/>
        <v>0</v>
      </c>
      <c r="R317" s="475">
        <f t="shared" si="37"/>
        <v>0</v>
      </c>
      <c r="S317" s="475">
        <f t="shared" si="37"/>
        <v>0</v>
      </c>
      <c r="T317" s="476">
        <f t="shared" si="37"/>
        <v>0</v>
      </c>
      <c r="U317" s="477">
        <f t="shared" si="37"/>
        <v>0</v>
      </c>
      <c r="V317" s="475">
        <f t="shared" si="37"/>
        <v>0</v>
      </c>
    </row>
    <row r="318" spans="2:23" outlineLevel="1">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row>
    <row r="319" spans="2:23" ht="17.5" outlineLevel="1">
      <c r="C319" s="150"/>
      <c r="D319" s="265" t="s">
        <v>533</v>
      </c>
      <c r="E319" s="266"/>
      <c r="F319" s="266"/>
      <c r="G319" s="266"/>
      <c r="H319" s="266"/>
      <c r="I319" s="266"/>
      <c r="J319" s="266"/>
      <c r="K319" s="266"/>
      <c r="L319" s="304"/>
      <c r="M319" s="266"/>
      <c r="N319" s="266"/>
      <c r="O319" s="266"/>
      <c r="P319" s="266"/>
      <c r="Q319" s="266"/>
      <c r="R319" s="266"/>
      <c r="S319" s="266"/>
      <c r="T319" s="266"/>
      <c r="U319" s="284"/>
      <c r="V319" s="266"/>
    </row>
    <row r="320" spans="2:23" ht="14">
      <c r="B320" s="259"/>
      <c r="C320" s="260"/>
      <c r="D320" s="260"/>
      <c r="E320" s="260"/>
      <c r="F320" s="260"/>
      <c r="G320" s="261"/>
      <c r="H320" s="261"/>
      <c r="I320" s="261"/>
      <c r="J320" s="261"/>
      <c r="K320" s="261"/>
      <c r="L320" s="259"/>
      <c r="M320" s="260"/>
      <c r="N320" s="260"/>
      <c r="O320" s="260"/>
      <c r="P320" s="260"/>
      <c r="Q320" s="260"/>
      <c r="R320" s="260"/>
      <c r="S320" s="260"/>
      <c r="T320" s="260"/>
      <c r="U320" s="289"/>
      <c r="V320" s="260"/>
    </row>
    <row r="321" spans="2:24" ht="49.5" customHeight="1" outlineLevel="1">
      <c r="B321" s="1409" t="s">
        <v>468</v>
      </c>
      <c r="C321" s="1411" t="s">
        <v>575</v>
      </c>
      <c r="D321" s="1412"/>
      <c r="E321" s="1412"/>
      <c r="F321" s="1412"/>
      <c r="G321" s="1412"/>
      <c r="H321" s="1412"/>
      <c r="I321" s="1413"/>
      <c r="L321" s="153"/>
      <c r="M321" s="192" t="s">
        <v>576</v>
      </c>
      <c r="N321" s="193" t="s">
        <v>576</v>
      </c>
      <c r="O321" s="193" t="s">
        <v>576</v>
      </c>
      <c r="P321" s="193" t="s">
        <v>576</v>
      </c>
      <c r="Q321" s="193" t="s">
        <v>576</v>
      </c>
      <c r="R321" s="193" t="s">
        <v>576</v>
      </c>
      <c r="S321" s="193" t="s">
        <v>576</v>
      </c>
      <c r="T321" s="276" t="s">
        <v>576</v>
      </c>
      <c r="U321" s="293" t="s">
        <v>576</v>
      </c>
      <c r="V321" s="193" t="s">
        <v>576</v>
      </c>
    </row>
    <row r="322" spans="2:24" outlineLevel="1">
      <c r="B322" s="1410"/>
      <c r="C322" s="1414"/>
      <c r="D322" s="1415"/>
      <c r="E322" s="1415"/>
      <c r="F322" s="1415"/>
      <c r="G322" s="1415"/>
      <c r="H322" s="1415"/>
      <c r="I322" s="1416"/>
      <c r="L322" s="153"/>
      <c r="M322" s="194" t="s">
        <v>469</v>
      </c>
      <c r="N322" s="195" t="s">
        <v>469</v>
      </c>
      <c r="O322" s="195" t="s">
        <v>469</v>
      </c>
      <c r="P322" s="195" t="s">
        <v>469</v>
      </c>
      <c r="Q322" s="195" t="s">
        <v>469</v>
      </c>
      <c r="R322" s="195" t="s">
        <v>469</v>
      </c>
      <c r="S322" s="195" t="s">
        <v>469</v>
      </c>
      <c r="T322" s="277" t="s">
        <v>469</v>
      </c>
      <c r="U322" s="294" t="s">
        <v>469</v>
      </c>
      <c r="V322" s="195" t="s">
        <v>469</v>
      </c>
    </row>
    <row r="323" spans="2:24" outlineLevel="1">
      <c r="B323" s="360" t="s">
        <v>588</v>
      </c>
      <c r="C323" s="1397" t="str">
        <f>IF('R6a - Net Debt input'!D164 = "","",'R6a - Net Debt input'!D164)</f>
        <v/>
      </c>
      <c r="D323" s="1398"/>
      <c r="E323" s="1398"/>
      <c r="F323" s="1398"/>
      <c r="G323" s="1398"/>
      <c r="H323" s="1398"/>
      <c r="I323" s="1399"/>
      <c r="J323" s="200"/>
      <c r="K323" s="201"/>
      <c r="L323" s="202"/>
      <c r="M323" s="468">
        <v>0</v>
      </c>
      <c r="N323" s="468">
        <v>0</v>
      </c>
      <c r="O323" s="468">
        <v>0</v>
      </c>
      <c r="P323" s="468">
        <v>0</v>
      </c>
      <c r="Q323" s="468">
        <v>0</v>
      </c>
      <c r="R323" s="468">
        <v>0</v>
      </c>
      <c r="S323" s="468">
        <v>0</v>
      </c>
      <c r="T323" s="468">
        <v>0</v>
      </c>
      <c r="U323" s="468">
        <v>0</v>
      </c>
      <c r="V323" s="468">
        <v>0</v>
      </c>
    </row>
    <row r="324" spans="2:24" outlineLevel="1">
      <c r="B324" s="360" t="s">
        <v>589</v>
      </c>
      <c r="C324" s="1397" t="str">
        <f>IF('R6a - Net Debt input'!D165 = "","",'R6a - Net Debt input'!D165)</f>
        <v/>
      </c>
      <c r="D324" s="1398"/>
      <c r="E324" s="1398"/>
      <c r="F324" s="1398"/>
      <c r="G324" s="1398"/>
      <c r="H324" s="1398"/>
      <c r="I324" s="1399"/>
      <c r="J324" s="200"/>
      <c r="K324" s="201"/>
      <c r="L324" s="202"/>
      <c r="M324" s="468">
        <v>0</v>
      </c>
      <c r="N324" s="468">
        <v>0</v>
      </c>
      <c r="O324" s="468">
        <v>0</v>
      </c>
      <c r="P324" s="468">
        <v>0</v>
      </c>
      <c r="Q324" s="468">
        <v>0</v>
      </c>
      <c r="R324" s="468">
        <v>0</v>
      </c>
      <c r="S324" s="468">
        <v>0</v>
      </c>
      <c r="T324" s="468">
        <v>0</v>
      </c>
      <c r="U324" s="468">
        <v>0</v>
      </c>
      <c r="V324" s="468">
        <v>0</v>
      </c>
    </row>
    <row r="325" spans="2:24" outlineLevel="1">
      <c r="B325" s="360" t="s">
        <v>590</v>
      </c>
      <c r="C325" s="1397" t="str">
        <f>IF('R6a - Net Debt input'!D166 = "","",'R6a - Net Debt input'!D166)</f>
        <v/>
      </c>
      <c r="D325" s="1398"/>
      <c r="E325" s="1398"/>
      <c r="F325" s="1398"/>
      <c r="G325" s="1398"/>
      <c r="H325" s="1398"/>
      <c r="I325" s="1399"/>
      <c r="J325" s="200"/>
      <c r="K325" s="201"/>
      <c r="L325" s="202"/>
      <c r="M325" s="468">
        <v>0</v>
      </c>
      <c r="N325" s="468">
        <v>0</v>
      </c>
      <c r="O325" s="468">
        <v>0</v>
      </c>
      <c r="P325" s="468">
        <v>0</v>
      </c>
      <c r="Q325" s="468">
        <v>0</v>
      </c>
      <c r="R325" s="468">
        <v>0</v>
      </c>
      <c r="S325" s="468">
        <v>0</v>
      </c>
      <c r="T325" s="468">
        <v>0</v>
      </c>
      <c r="U325" s="468">
        <v>0</v>
      </c>
      <c r="V325" s="468">
        <v>0</v>
      </c>
    </row>
    <row r="326" spans="2:24" outlineLevel="1">
      <c r="B326" s="360" t="s">
        <v>591</v>
      </c>
      <c r="C326" s="1397" t="str">
        <f>IF('R6a - Net Debt input'!D167 = "","",'R6a - Net Debt input'!D167)</f>
        <v/>
      </c>
      <c r="D326" s="1398"/>
      <c r="E326" s="1398"/>
      <c r="F326" s="1398"/>
      <c r="G326" s="1398"/>
      <c r="H326" s="1398"/>
      <c r="I326" s="1399"/>
      <c r="J326" s="200"/>
      <c r="K326" s="201"/>
      <c r="L326" s="202"/>
      <c r="M326" s="468">
        <v>0</v>
      </c>
      <c r="N326" s="468">
        <v>0</v>
      </c>
      <c r="O326" s="468">
        <v>0</v>
      </c>
      <c r="P326" s="468">
        <v>0</v>
      </c>
      <c r="Q326" s="468">
        <v>0</v>
      </c>
      <c r="R326" s="468">
        <v>0</v>
      </c>
      <c r="S326" s="468">
        <v>0</v>
      </c>
      <c r="T326" s="468">
        <v>0</v>
      </c>
      <c r="U326" s="468">
        <v>0</v>
      </c>
      <c r="V326" s="468">
        <v>0</v>
      </c>
    </row>
    <row r="327" spans="2:24" outlineLevel="1">
      <c r="B327" s="360" t="s">
        <v>592</v>
      </c>
      <c r="C327" s="1397" t="str">
        <f>IF('R6a - Net Debt input'!D168 = "","",'R6a - Net Debt input'!D168)</f>
        <v/>
      </c>
      <c r="D327" s="1398"/>
      <c r="E327" s="1398"/>
      <c r="F327" s="1398"/>
      <c r="G327" s="1398"/>
      <c r="H327" s="1398"/>
      <c r="I327" s="1399"/>
      <c r="J327" s="200"/>
      <c r="K327" s="201"/>
      <c r="L327" s="202"/>
      <c r="M327" s="468">
        <v>0</v>
      </c>
      <c r="N327" s="468">
        <v>0</v>
      </c>
      <c r="O327" s="468">
        <v>0</v>
      </c>
      <c r="P327" s="468">
        <v>0</v>
      </c>
      <c r="Q327" s="468">
        <v>0</v>
      </c>
      <c r="R327" s="468">
        <v>0</v>
      </c>
      <c r="S327" s="468">
        <v>0</v>
      </c>
      <c r="T327" s="468">
        <v>0</v>
      </c>
      <c r="U327" s="468">
        <v>0</v>
      </c>
      <c r="V327" s="468">
        <v>0</v>
      </c>
    </row>
    <row r="328" spans="2:24" outlineLevel="1">
      <c r="B328" s="360" t="s">
        <v>593</v>
      </c>
      <c r="C328" s="1397" t="str">
        <f>IF('R6a - Net Debt input'!D169 = "","",'R6a - Net Debt input'!D169)</f>
        <v/>
      </c>
      <c r="D328" s="1398"/>
      <c r="E328" s="1398"/>
      <c r="F328" s="1398"/>
      <c r="G328" s="1398"/>
      <c r="H328" s="1398"/>
      <c r="I328" s="1399"/>
      <c r="J328" s="200"/>
      <c r="K328" s="201"/>
      <c r="L328" s="202"/>
      <c r="M328" s="468">
        <v>0</v>
      </c>
      <c r="N328" s="468">
        <v>0</v>
      </c>
      <c r="O328" s="468">
        <v>0</v>
      </c>
      <c r="P328" s="468">
        <v>0</v>
      </c>
      <c r="Q328" s="468">
        <v>0</v>
      </c>
      <c r="R328" s="468">
        <v>0</v>
      </c>
      <c r="S328" s="468">
        <v>0</v>
      </c>
      <c r="T328" s="468">
        <v>0</v>
      </c>
      <c r="U328" s="468">
        <v>0</v>
      </c>
      <c r="V328" s="468">
        <v>0</v>
      </c>
    </row>
    <row r="329" spans="2:24" outlineLevel="1">
      <c r="B329" s="360" t="s">
        <v>594</v>
      </c>
      <c r="C329" s="1397" t="str">
        <f>IF('R6a - Net Debt input'!D170 = "","",'R6a - Net Debt input'!D170)</f>
        <v/>
      </c>
      <c r="D329" s="1398"/>
      <c r="E329" s="1398"/>
      <c r="F329" s="1398"/>
      <c r="G329" s="1398"/>
      <c r="H329" s="1398"/>
      <c r="I329" s="1399"/>
      <c r="J329" s="200"/>
      <c r="K329" s="201"/>
      <c r="L329" s="202"/>
      <c r="M329" s="468">
        <v>0</v>
      </c>
      <c r="N329" s="468">
        <v>0</v>
      </c>
      <c r="O329" s="468">
        <v>0</v>
      </c>
      <c r="P329" s="468">
        <v>0</v>
      </c>
      <c r="Q329" s="468">
        <v>0</v>
      </c>
      <c r="R329" s="468">
        <v>0</v>
      </c>
      <c r="S329" s="468">
        <v>0</v>
      </c>
      <c r="T329" s="468">
        <v>0</v>
      </c>
      <c r="U329" s="468">
        <v>0</v>
      </c>
      <c r="V329" s="468">
        <v>0</v>
      </c>
    </row>
    <row r="330" spans="2:24" outlineLevel="1">
      <c r="B330" s="360" t="s">
        <v>595</v>
      </c>
      <c r="C330" s="1397" t="str">
        <f>IF('R6a - Net Debt input'!D171 = "","",'R6a - Net Debt input'!D171)</f>
        <v/>
      </c>
      <c r="D330" s="1398"/>
      <c r="E330" s="1398"/>
      <c r="F330" s="1398"/>
      <c r="G330" s="1398"/>
      <c r="H330" s="1398"/>
      <c r="I330" s="1399"/>
      <c r="J330" s="200"/>
      <c r="K330" s="201"/>
      <c r="L330" s="202"/>
      <c r="M330" s="468">
        <v>0</v>
      </c>
      <c r="N330" s="468">
        <v>0</v>
      </c>
      <c r="O330" s="468">
        <v>0</v>
      </c>
      <c r="P330" s="468">
        <v>0</v>
      </c>
      <c r="Q330" s="468">
        <v>0</v>
      </c>
      <c r="R330" s="468">
        <v>0</v>
      </c>
      <c r="S330" s="468">
        <v>0</v>
      </c>
      <c r="T330" s="468">
        <v>0</v>
      </c>
      <c r="U330" s="468">
        <v>0</v>
      </c>
      <c r="V330" s="468">
        <v>0</v>
      </c>
    </row>
    <row r="331" spans="2:24" outlineLevel="1">
      <c r="B331" s="360" t="s">
        <v>596</v>
      </c>
      <c r="C331" s="1397" t="str">
        <f>IF('R6a - Net Debt input'!D172 = "","",'R6a - Net Debt input'!D172)</f>
        <v/>
      </c>
      <c r="D331" s="1398"/>
      <c r="E331" s="1398"/>
      <c r="F331" s="1398"/>
      <c r="G331" s="1398"/>
      <c r="H331" s="1398"/>
      <c r="I331" s="1399"/>
      <c r="J331" s="200"/>
      <c r="K331" s="201"/>
      <c r="L331" s="202"/>
      <c r="M331" s="468">
        <v>0</v>
      </c>
      <c r="N331" s="468">
        <v>0</v>
      </c>
      <c r="O331" s="468">
        <v>0</v>
      </c>
      <c r="P331" s="468">
        <v>0</v>
      </c>
      <c r="Q331" s="468">
        <v>0</v>
      </c>
      <c r="R331" s="468">
        <v>0</v>
      </c>
      <c r="S331" s="468">
        <v>0</v>
      </c>
      <c r="T331" s="468">
        <v>0</v>
      </c>
      <c r="U331" s="468">
        <v>0</v>
      </c>
      <c r="V331" s="468">
        <v>0</v>
      </c>
    </row>
    <row r="332" spans="2:24" outlineLevel="1">
      <c r="B332" s="150"/>
      <c r="C332" s="150"/>
      <c r="D332" s="150"/>
      <c r="E332" s="150"/>
      <c r="F332" s="150"/>
      <c r="L332" s="981" t="s">
        <v>355</v>
      </c>
      <c r="M332" s="474">
        <f t="shared" ref="M332:V332" si="38">SUM(M323:M331)</f>
        <v>0</v>
      </c>
      <c r="N332" s="475">
        <f t="shared" si="38"/>
        <v>0</v>
      </c>
      <c r="O332" s="475">
        <f t="shared" si="38"/>
        <v>0</v>
      </c>
      <c r="P332" s="475">
        <f t="shared" si="38"/>
        <v>0</v>
      </c>
      <c r="Q332" s="475">
        <f t="shared" si="38"/>
        <v>0</v>
      </c>
      <c r="R332" s="475">
        <f t="shared" si="38"/>
        <v>0</v>
      </c>
      <c r="S332" s="475">
        <f t="shared" si="38"/>
        <v>0</v>
      </c>
      <c r="T332" s="476">
        <f t="shared" si="38"/>
        <v>0</v>
      </c>
      <c r="U332" s="477">
        <f t="shared" si="38"/>
        <v>0</v>
      </c>
      <c r="V332" s="475">
        <f t="shared" si="38"/>
        <v>0</v>
      </c>
    </row>
    <row r="333" spans="2:24">
      <c r="D333" s="150"/>
      <c r="E333" s="150"/>
      <c r="F333" s="150"/>
      <c r="L333" s="150"/>
      <c r="M333" s="150"/>
      <c r="N333" s="150"/>
      <c r="O333" s="150"/>
      <c r="P333" s="150"/>
      <c r="Q333" s="150"/>
      <c r="R333" s="150"/>
      <c r="S333" s="150"/>
      <c r="T333" s="150"/>
      <c r="U333" s="287"/>
      <c r="V333" s="150"/>
    </row>
    <row r="334" spans="2:24" ht="14">
      <c r="B334" s="254" t="s">
        <v>597</v>
      </c>
      <c r="C334" s="255" t="s">
        <v>598</v>
      </c>
      <c r="D334" s="255"/>
      <c r="E334" s="255"/>
      <c r="F334" s="255"/>
      <c r="G334" s="256"/>
      <c r="H334" s="256"/>
      <c r="I334" s="256"/>
      <c r="J334" s="256"/>
      <c r="K334" s="256"/>
      <c r="L334" s="254"/>
      <c r="M334" s="255"/>
      <c r="N334" s="255"/>
      <c r="O334" s="255"/>
      <c r="P334" s="255"/>
      <c r="Q334" s="255"/>
      <c r="R334" s="255"/>
      <c r="S334" s="255"/>
      <c r="T334" s="255"/>
      <c r="U334" s="288"/>
      <c r="V334" s="255"/>
    </row>
    <row r="335" spans="2:24" outlineLevel="1">
      <c r="B335" s="169"/>
      <c r="X335" s="283"/>
    </row>
    <row r="336" spans="2:24" ht="17.5" outlineLevel="1">
      <c r="B336" s="153"/>
      <c r="C336" s="150"/>
      <c r="D336" s="265" t="s">
        <v>467</v>
      </c>
      <c r="E336" s="267"/>
      <c r="F336" s="267"/>
      <c r="G336" s="266"/>
      <c r="H336" s="266"/>
      <c r="I336" s="266"/>
      <c r="J336" s="266"/>
      <c r="K336" s="266"/>
      <c r="L336" s="304"/>
      <c r="M336" s="267"/>
      <c r="N336" s="267"/>
      <c r="O336" s="267"/>
      <c r="P336" s="267"/>
      <c r="Q336" s="267"/>
      <c r="R336" s="267"/>
      <c r="S336" s="267"/>
      <c r="T336" s="267"/>
      <c r="U336" s="290"/>
      <c r="V336" s="267"/>
    </row>
    <row r="337" spans="2:22" outlineLevel="1">
      <c r="B337" s="169"/>
    </row>
    <row r="338" spans="2:22" ht="31.5" customHeight="1" outlineLevel="1">
      <c r="B338" s="1182"/>
      <c r="C338" s="777" t="s">
        <v>599</v>
      </c>
      <c r="D338" s="778" t="s">
        <v>600</v>
      </c>
      <c r="E338" s="1391" t="s">
        <v>601</v>
      </c>
      <c r="F338" s="1392"/>
      <c r="G338" s="1392"/>
      <c r="H338" s="1392"/>
      <c r="I338" s="1393"/>
      <c r="U338" s="283"/>
    </row>
    <row r="339" spans="2:22" s="521" customFormat="1" ht="45.75" customHeight="1" outlineLevel="1">
      <c r="B339" s="516" t="s">
        <v>468</v>
      </c>
      <c r="C339" s="517" t="s">
        <v>602</v>
      </c>
      <c r="D339" s="984" t="s">
        <v>602</v>
      </c>
      <c r="E339" s="1394"/>
      <c r="F339" s="1395"/>
      <c r="G339" s="1395"/>
      <c r="H339" s="1395"/>
      <c r="I339" s="1396"/>
      <c r="J339" s="151"/>
      <c r="K339" s="151"/>
      <c r="L339" s="151"/>
      <c r="M339" s="522" t="s">
        <v>469</v>
      </c>
      <c r="N339" s="523" t="s">
        <v>469</v>
      </c>
      <c r="O339" s="523" t="s">
        <v>469</v>
      </c>
      <c r="P339" s="523" t="s">
        <v>469</v>
      </c>
      <c r="Q339" s="523" t="s">
        <v>469</v>
      </c>
      <c r="R339" s="523" t="s">
        <v>469</v>
      </c>
      <c r="S339" s="523" t="s">
        <v>469</v>
      </c>
      <c r="T339" s="524" t="s">
        <v>469</v>
      </c>
      <c r="U339" s="525" t="s">
        <v>469</v>
      </c>
      <c r="V339" s="523" t="s">
        <v>469</v>
      </c>
    </row>
    <row r="340" spans="2:22" outlineLevel="1">
      <c r="B340" s="555" t="s">
        <v>603</v>
      </c>
      <c r="C340" s="203">
        <f>IF('R6a - Net Debt input'!D180 = "","",'R6a - Net Debt input'!D180)</f>
        <v>41171</v>
      </c>
      <c r="D340" s="203">
        <f>IF('R6a - Net Debt input'!E180 = "","",'R6a - Net Debt input'!E180)</f>
        <v>48484</v>
      </c>
      <c r="E340" s="726" t="str">
        <f>IF('R6a - Net Debt input'!F180 = "","",'R6a - Net Debt input'!F180)</f>
        <v>20 YR SWAP: PAY 6M Libor +110 bp GBP 80.5 M RCV 3.35000% EUR 100.0 M MAT: 27-SEP-2032</v>
      </c>
      <c r="F340" s="727"/>
      <c r="G340" s="727"/>
      <c r="H340" s="727"/>
      <c r="I340" s="728"/>
      <c r="M340" s="491">
        <v>-0.9</v>
      </c>
      <c r="N340" s="491">
        <v>0</v>
      </c>
      <c r="O340" s="491">
        <v>0</v>
      </c>
      <c r="P340" s="491">
        <v>0</v>
      </c>
      <c r="Q340" s="491">
        <v>0</v>
      </c>
      <c r="R340" s="491">
        <v>0</v>
      </c>
      <c r="S340" s="491">
        <v>0</v>
      </c>
      <c r="T340" s="491">
        <v>0</v>
      </c>
      <c r="U340" s="491">
        <v>0</v>
      </c>
      <c r="V340" s="491">
        <v>0</v>
      </c>
    </row>
    <row r="341" spans="2:22" outlineLevel="1">
      <c r="B341" s="555" t="s">
        <v>604</v>
      </c>
      <c r="C341" s="203">
        <f>IF('R6a - Net Debt input'!D181 = "","",'R6a - Net Debt input'!D181)</f>
        <v>41297</v>
      </c>
      <c r="D341" s="203">
        <f>IF('R6a - Net Debt input'!E181 = "","",'R6a - Net Debt input'!E181)</f>
        <v>49339</v>
      </c>
      <c r="E341" s="726" t="str">
        <f>IF('R6a - Net Debt input'!F181 = "","",'R6a - Net Debt input'!F181)</f>
        <v>22 YR SWAP: PAY 6M Libor +101 bp GBP 84.0 M RCV 3.21000% EUR 100.0 M MAT: 30-JAN-2035</v>
      </c>
      <c r="F341" s="727"/>
      <c r="G341" s="727"/>
      <c r="H341" s="727"/>
      <c r="I341" s="728"/>
      <c r="M341" s="491">
        <v>-1.5</v>
      </c>
      <c r="N341" s="491">
        <v>0</v>
      </c>
      <c r="O341" s="491">
        <v>0</v>
      </c>
      <c r="P341" s="491">
        <v>0</v>
      </c>
      <c r="Q341" s="491">
        <v>0</v>
      </c>
      <c r="R341" s="491">
        <v>0</v>
      </c>
      <c r="S341" s="491">
        <v>0</v>
      </c>
      <c r="T341" s="491">
        <v>0</v>
      </c>
      <c r="U341" s="491">
        <v>0</v>
      </c>
      <c r="V341" s="491">
        <v>0</v>
      </c>
    </row>
    <row r="342" spans="2:22" outlineLevel="1">
      <c r="B342" s="555" t="s">
        <v>605</v>
      </c>
      <c r="C342" s="203">
        <f>IF('R6a - Net Debt input'!D182 = "","",'R6a - Net Debt input'!D182)</f>
        <v>40802</v>
      </c>
      <c r="D342" s="203">
        <f>IF('R6a - Net Debt input'!E182 = "","",'R6a - Net Debt input'!E182)</f>
        <v>46288</v>
      </c>
      <c r="E342" s="726" t="str">
        <f>IF('R6a - Net Debt input'!F182 = "","",'R6a - Net Debt input'!F182)</f>
        <v>15 YR SWAP: PAY 6M Libor +115 bp GBP 20.3 M RCV 3.30000% HKD 250.0 M MAT: 23-SEP-2026</v>
      </c>
      <c r="F342" s="727"/>
      <c r="G342" s="727"/>
      <c r="H342" s="727"/>
      <c r="I342" s="728"/>
      <c r="M342" s="491">
        <v>0.4</v>
      </c>
      <c r="N342" s="491">
        <v>0</v>
      </c>
      <c r="O342" s="491">
        <v>0</v>
      </c>
      <c r="P342" s="491">
        <v>0</v>
      </c>
      <c r="Q342" s="491">
        <v>0</v>
      </c>
      <c r="R342" s="491">
        <v>0</v>
      </c>
      <c r="S342" s="491">
        <v>0</v>
      </c>
      <c r="T342" s="491">
        <v>0</v>
      </c>
      <c r="U342" s="491">
        <v>0</v>
      </c>
      <c r="V342" s="491">
        <v>0</v>
      </c>
    </row>
    <row r="343" spans="2:22" outlineLevel="1">
      <c r="B343" s="555" t="s">
        <v>606</v>
      </c>
      <c r="C343" s="203">
        <f>IF('R6a - Net Debt input'!D183 = "","",'R6a - Net Debt input'!D183)</f>
        <v>41248</v>
      </c>
      <c r="D343" s="203">
        <f>IF('R6a - Net Debt input'!E183 = "","",'R6a - Net Debt input'!E183)</f>
        <v>46734</v>
      </c>
      <c r="E343" s="726" t="str">
        <f>IF('R6a - Net Debt input'!F183 = "","",'R6a - Net Debt input'!F183)</f>
        <v>15 YR SWAP: PAY 6M Libor +98 bp GBP 24.0 M RCV 3.10000% HKD 300.0 M MAT: 13-DEC-2027</v>
      </c>
      <c r="F343" s="727"/>
      <c r="G343" s="727"/>
      <c r="H343" s="727"/>
      <c r="I343" s="728"/>
      <c r="M343" s="491">
        <v>0.3</v>
      </c>
      <c r="N343" s="491">
        <v>0</v>
      </c>
      <c r="O343" s="491">
        <v>0</v>
      </c>
      <c r="P343" s="491">
        <v>0</v>
      </c>
      <c r="Q343" s="491">
        <v>0</v>
      </c>
      <c r="R343" s="491">
        <v>0</v>
      </c>
      <c r="S343" s="491">
        <v>0</v>
      </c>
      <c r="T343" s="491">
        <v>0</v>
      </c>
      <c r="U343" s="491">
        <v>0</v>
      </c>
      <c r="V343" s="491">
        <v>0</v>
      </c>
    </row>
    <row r="344" spans="2:22" outlineLevel="1">
      <c r="B344" s="555" t="s">
        <v>607</v>
      </c>
      <c r="C344" s="203">
        <f>IF('R6a - Net Debt input'!D184 = "","",'R6a - Net Debt input'!D184)</f>
        <v>41302</v>
      </c>
      <c r="D344" s="203">
        <f>IF('R6a - Net Debt input'!E184 = "","",'R6a - Net Debt input'!E184)</f>
        <v>46790</v>
      </c>
      <c r="E344" s="726" t="str">
        <f>IF('R6a - Net Debt input'!F184 = "","",'R6a - Net Debt input'!F184)</f>
        <v>15 YR SWAP: PAY 6M Libor +88 bp GBP 24.6 M RCV 3.25000% HKD 300.0 M MAT: 07-FEB-2028</v>
      </c>
      <c r="F344" s="727"/>
      <c r="G344" s="727"/>
      <c r="H344" s="727"/>
      <c r="I344" s="728"/>
      <c r="M344" s="491">
        <v>0.2</v>
      </c>
      <c r="N344" s="491">
        <v>0</v>
      </c>
      <c r="O344" s="491">
        <v>0</v>
      </c>
      <c r="P344" s="491">
        <v>0</v>
      </c>
      <c r="Q344" s="491">
        <v>0</v>
      </c>
      <c r="R344" s="491">
        <v>0</v>
      </c>
      <c r="S344" s="491">
        <v>0</v>
      </c>
      <c r="T344" s="491">
        <v>0</v>
      </c>
      <c r="U344" s="491">
        <v>0</v>
      </c>
      <c r="V344" s="491">
        <v>0</v>
      </c>
    </row>
    <row r="345" spans="2:22" outlineLevel="1">
      <c r="B345" s="555" t="s">
        <v>608</v>
      </c>
      <c r="C345" s="203">
        <f>IF('R6a - Net Debt input'!D185 = "","",'R6a - Net Debt input'!D185)</f>
        <v>41296</v>
      </c>
      <c r="D345" s="203">
        <f>IF('R6a - Net Debt input'!E185 = "","",'R6a - Net Debt input'!E185)</f>
        <v>45686</v>
      </c>
      <c r="E345" s="726" t="str">
        <f>IF('R6a - Net Debt input'!F185 = "","",'R6a - Net Debt input'!F185)</f>
        <v>12 YR SWAP: PAY 6M Libor +83 bp GBP 134.7 M RCV 4.35000% NOK 1190.0 M MAT: 29-JAN-2025</v>
      </c>
      <c r="F345" s="727"/>
      <c r="G345" s="727"/>
      <c r="H345" s="727"/>
      <c r="I345" s="728"/>
      <c r="M345" s="491">
        <v>0.6</v>
      </c>
      <c r="N345" s="491">
        <v>0</v>
      </c>
      <c r="O345" s="491">
        <v>0</v>
      </c>
      <c r="P345" s="491">
        <v>0</v>
      </c>
      <c r="Q345" s="491">
        <v>0</v>
      </c>
      <c r="R345" s="491">
        <v>0</v>
      </c>
      <c r="S345" s="491">
        <v>0</v>
      </c>
      <c r="T345" s="491">
        <v>0</v>
      </c>
      <c r="U345" s="491">
        <v>0</v>
      </c>
      <c r="V345" s="491">
        <v>0</v>
      </c>
    </row>
    <row r="346" spans="2:22" outlineLevel="1">
      <c r="B346" s="555" t="s">
        <v>609</v>
      </c>
      <c r="C346" s="203">
        <f>IF('R6a - Net Debt input'!D186 = "","",'R6a - Net Debt input'!D186)</f>
        <v>43431</v>
      </c>
      <c r="D346" s="203">
        <f>IF('R6a - Net Debt input'!E186 = "","",'R6a - Net Debt input'!E186)</f>
        <v>48918</v>
      </c>
      <c r="E346" s="726" t="str">
        <f>IF('R6a - Net Debt input'!F186 = "","",'R6a - Net Debt input'!F186)</f>
        <v>15 YR SWAP: PAY 2.79350% GBP 91.2 M RCV 3.13500% NOK 1000.0 M MAT: 05-DEC-2033</v>
      </c>
      <c r="F346" s="727"/>
      <c r="G346" s="727"/>
      <c r="H346" s="727"/>
      <c r="I346" s="728"/>
      <c r="M346" s="491">
        <v>-0.1</v>
      </c>
      <c r="N346" s="491">
        <v>-0.17324685000000001</v>
      </c>
      <c r="O346" s="491">
        <v>-0.15927947000000001</v>
      </c>
      <c r="P346" s="491">
        <v>-0.16626315999999999</v>
      </c>
      <c r="Q346" s="491">
        <v>-0.16626315999999999</v>
      </c>
      <c r="R346" s="491">
        <v>-0.16626315999999999</v>
      </c>
      <c r="S346" s="491">
        <v>-0.15927947000000001</v>
      </c>
      <c r="T346" s="491">
        <v>-0.16626315999999999</v>
      </c>
      <c r="U346" s="491">
        <v>-0.16626315999999999</v>
      </c>
      <c r="V346" s="491">
        <v>-0.16626315999999999</v>
      </c>
    </row>
    <row r="347" spans="2:22" outlineLevel="1">
      <c r="B347" s="555" t="s">
        <v>610</v>
      </c>
      <c r="C347" s="203">
        <f>IF('R6a - Net Debt input'!D187 = "","",'R6a - Net Debt input'!D187)</f>
        <v>43504</v>
      </c>
      <c r="D347" s="203">
        <f>IF('R6a - Net Debt input'!E187 = "","",'R6a - Net Debt input'!E187)</f>
        <v>50816</v>
      </c>
      <c r="E347" s="726" t="str">
        <f>IF('R6a - Net Debt input'!F187 = "","",'R6a - Net Debt input'!F187)</f>
        <v>20 YR SWAP: PAY 2.70600% GBP 98.4 M RCV 2.03700% EUR 112.5 M MAT: 15-FEB-2039</v>
      </c>
      <c r="F347" s="727"/>
      <c r="G347" s="727"/>
      <c r="H347" s="727"/>
      <c r="I347" s="728"/>
      <c r="M347" s="491">
        <v>0.7</v>
      </c>
      <c r="N347" s="491">
        <v>0.73074649000000003</v>
      </c>
      <c r="O347" s="491">
        <v>0.73564923999999998</v>
      </c>
      <c r="P347" s="491">
        <v>0.73739241</v>
      </c>
      <c r="Q347" s="491">
        <v>0.73283268000000001</v>
      </c>
      <c r="R347" s="491">
        <v>0.73275425999999999</v>
      </c>
      <c r="S347" s="491">
        <v>0.73564923999999998</v>
      </c>
      <c r="T347" s="491">
        <v>0.73739241</v>
      </c>
      <c r="U347" s="491">
        <v>0.73283268000000001</v>
      </c>
      <c r="V347" s="491">
        <v>0.73275425000000005</v>
      </c>
    </row>
    <row r="348" spans="2:22" outlineLevel="1">
      <c r="B348" s="555" t="s">
        <v>611</v>
      </c>
      <c r="C348" s="203">
        <f>IF('R6a - Net Debt input'!D188 = "","",'R6a - Net Debt input'!D188)</f>
        <v>43732</v>
      </c>
      <c r="D348" s="203">
        <f>IF('R6a - Net Debt input'!E188 = "","",'R6a - Net Debt input'!E188)</f>
        <v>49221</v>
      </c>
      <c r="E348" s="726" t="str">
        <f>IF('R6a - Net Debt input'!F188 = "","",'R6a - Net Debt input'!F188)</f>
        <v>15 YR SWAP: PAY 6M Libor +105 bp GBP 38.2 M RCV 2.71000% AUD 70.0 M MAT: 04-OCT-2034</v>
      </c>
      <c r="F348" s="727"/>
      <c r="G348" s="727"/>
      <c r="H348" s="727"/>
      <c r="I348" s="728"/>
      <c r="M348" s="491">
        <v>-0.3</v>
      </c>
      <c r="N348" s="491">
        <v>0</v>
      </c>
      <c r="O348" s="491">
        <v>0</v>
      </c>
      <c r="P348" s="491">
        <v>0</v>
      </c>
      <c r="Q348" s="491">
        <v>0</v>
      </c>
      <c r="R348" s="491">
        <v>0</v>
      </c>
      <c r="S348" s="491">
        <v>0</v>
      </c>
      <c r="T348" s="491">
        <v>0</v>
      </c>
      <c r="U348" s="491">
        <v>0</v>
      </c>
      <c r="V348" s="491">
        <v>0</v>
      </c>
    </row>
    <row r="349" spans="2:22" outlineLevel="1">
      <c r="B349" s="555" t="s">
        <v>612</v>
      </c>
      <c r="C349" s="203">
        <f>IF('R6a - Net Debt input'!D189 = "","",'R6a - Net Debt input'!D189)</f>
        <v>43802</v>
      </c>
      <c r="D349" s="203">
        <f>IF('R6a - Net Debt input'!E189 = "","",'R6a - Net Debt input'!E189)</f>
        <v>51114</v>
      </c>
      <c r="E349" s="726" t="str">
        <f>IF('R6a - Net Debt input'!F189 = "","",'R6a - Net Debt input'!F189)</f>
        <v>20 YR SWAP: PAY 2.21700% GBP 43.4 M RCV 3.12000% AUD 82.0 M MAT: 10-DEC-2039</v>
      </c>
      <c r="F349" s="727"/>
      <c r="G349" s="727"/>
      <c r="H349" s="727"/>
      <c r="I349" s="728"/>
      <c r="M349" s="491">
        <v>-0.4</v>
      </c>
      <c r="N349" s="491">
        <v>-0.49627303</v>
      </c>
      <c r="O349" s="491">
        <v>-0.49794332000000002</v>
      </c>
      <c r="P349" s="491">
        <v>-0.49452840000000003</v>
      </c>
      <c r="Q349" s="491">
        <v>-0.49780365000000004</v>
      </c>
      <c r="R349" s="491">
        <v>-0.49763641999999997</v>
      </c>
      <c r="S349" s="491">
        <v>-0.49794332000000002</v>
      </c>
      <c r="T349" s="491">
        <v>-0.49452840000000003</v>
      </c>
      <c r="U349" s="491">
        <v>-0.49780365000000004</v>
      </c>
      <c r="V349" s="491">
        <v>-0.49763641999999997</v>
      </c>
    </row>
    <row r="350" spans="2:22" outlineLevel="1">
      <c r="B350" s="555" t="s">
        <v>613</v>
      </c>
      <c r="C350" s="203">
        <f>IF('R6a - Net Debt input'!D190 = "","",'R6a - Net Debt input'!D190)</f>
        <v>43843</v>
      </c>
      <c r="D350" s="203">
        <f>IF('R6a - Net Debt input'!E190 = "","",'R6a - Net Debt input'!E190)</f>
        <v>45677</v>
      </c>
      <c r="E350" s="726" t="str">
        <f>IF('R6a - Net Debt input'!F190 = "","",'R6a - Net Debt input'!F190)</f>
        <v>5 YR SWAP: PAY 1.35180% GBP 342.5 M RCV 0.19000% EUR 400.0 M MAT: 20-JAN-2025</v>
      </c>
      <c r="F350" s="727"/>
      <c r="G350" s="727"/>
      <c r="H350" s="727"/>
      <c r="I350" s="728"/>
      <c r="M350" s="491">
        <v>3.9</v>
      </c>
      <c r="N350" s="491">
        <v>3.9788731899999998</v>
      </c>
      <c r="O350" s="491">
        <v>4.0011281700000003</v>
      </c>
      <c r="P350" s="491">
        <v>3.2260468199999996</v>
      </c>
      <c r="Q350" s="491">
        <v>0</v>
      </c>
      <c r="R350" s="491">
        <v>0</v>
      </c>
      <c r="S350" s="491">
        <v>0</v>
      </c>
      <c r="T350" s="491">
        <v>0</v>
      </c>
      <c r="U350" s="491">
        <v>0</v>
      </c>
      <c r="V350" s="491">
        <v>0</v>
      </c>
    </row>
    <row r="351" spans="2:22" outlineLevel="1">
      <c r="B351" s="555" t="s">
        <v>614</v>
      </c>
      <c r="C351" s="203">
        <f>IF('R6a - Net Debt input'!D191 = "","",'R6a - Net Debt input'!D191)</f>
        <v>43843</v>
      </c>
      <c r="D351" s="203">
        <f>IF('R6a - Net Debt input'!E191 = "","",'R6a - Net Debt input'!E191)</f>
        <v>45677</v>
      </c>
      <c r="E351" s="726" t="str">
        <f>IF('R6a - Net Debt input'!F191 = "","",'R6a - Net Debt input'!F191)</f>
        <v>5 YR SWAP: PAY 1.34600% GBP 85.8 M RCV 0.19000% EUR 100.0 M MAT: 20-JAN-2025</v>
      </c>
      <c r="F351" s="727"/>
      <c r="G351" s="727"/>
      <c r="H351" s="727"/>
      <c r="I351" s="728"/>
      <c r="M351" s="491">
        <v>1</v>
      </c>
      <c r="N351" s="491">
        <v>0.99155457999999996</v>
      </c>
      <c r="O351" s="491">
        <v>0.99710093999999994</v>
      </c>
      <c r="P351" s="491">
        <v>0.80394769999999993</v>
      </c>
      <c r="Q351" s="491">
        <v>0</v>
      </c>
      <c r="R351" s="491">
        <v>0</v>
      </c>
      <c r="S351" s="491">
        <v>0</v>
      </c>
      <c r="T351" s="491">
        <v>0</v>
      </c>
      <c r="U351" s="491">
        <v>0</v>
      </c>
      <c r="V351" s="491">
        <v>0</v>
      </c>
    </row>
    <row r="352" spans="2:22" outlineLevel="1">
      <c r="B352" s="555" t="s">
        <v>615</v>
      </c>
      <c r="C352" s="203">
        <f>IF('R6a - Net Debt input'!D192 = "","",'R6a - Net Debt input'!D192)</f>
        <v>43846</v>
      </c>
      <c r="D352" s="203">
        <f>IF('R6a - Net Debt input'!E192 = "","",'R6a - Net Debt input'!E192)</f>
        <v>46776</v>
      </c>
      <c r="E352" s="726" t="str">
        <f>IF('R6a - Net Debt input'!F192 = "","",'R6a - Net Debt input'!F192)</f>
        <v>8 YR SWAP: RCV 2.24500% HKD 422.0 M PAY 1.38400% GBP 41.6 M MAT: 24-JAN-2028</v>
      </c>
      <c r="F352" s="727"/>
      <c r="G352" s="727"/>
      <c r="H352" s="727"/>
      <c r="I352" s="728"/>
      <c r="M352" s="491">
        <v>-0.3</v>
      </c>
      <c r="N352" s="491">
        <v>-0.34372990000000003</v>
      </c>
      <c r="O352" s="491">
        <v>-0.34561852000000004</v>
      </c>
      <c r="P352" s="491">
        <v>-0.34467421000000004</v>
      </c>
      <c r="Q352" s="491">
        <v>-0.34467421000000004</v>
      </c>
      <c r="R352" s="491">
        <v>-0.34467421000000004</v>
      </c>
      <c r="S352" s="491">
        <v>-0.28234956999999999</v>
      </c>
      <c r="T352" s="491">
        <v>0</v>
      </c>
      <c r="U352" s="491">
        <v>0</v>
      </c>
      <c r="V352" s="491">
        <v>0</v>
      </c>
    </row>
    <row r="353" spans="2:22" outlineLevel="1">
      <c r="B353" s="555" t="s">
        <v>616</v>
      </c>
      <c r="C353" s="203">
        <f>IF('R6a - Net Debt input'!D193 = "","",'R6a - Net Debt input'!D193)</f>
        <v>43852</v>
      </c>
      <c r="D353" s="203">
        <f>IF('R6a - Net Debt input'!E193 = "","",'R6a - Net Debt input'!E193)</f>
        <v>47877</v>
      </c>
      <c r="E353" s="726" t="str">
        <f>IF('R6a - Net Debt input'!F193 = "","",'R6a - Net Debt input'!F193)</f>
        <v>11 YR SWAP: RCV 2.50000% USD 85.0 M PAY 1.57700% GBP 65.2 M MAT: 29-JAN-2031</v>
      </c>
      <c r="F353" s="727"/>
      <c r="G353" s="727"/>
      <c r="H353" s="727"/>
      <c r="I353" s="728"/>
      <c r="M353" s="491">
        <v>-0.5</v>
      </c>
      <c r="N353" s="491">
        <v>-0.59178980000000003</v>
      </c>
      <c r="O353" s="491">
        <v>-0.5861580500000001</v>
      </c>
      <c r="P353" s="491">
        <v>-0.58897393000000009</v>
      </c>
      <c r="Q353" s="491">
        <v>-0.58897393000000009</v>
      </c>
      <c r="R353" s="491">
        <v>-0.58897393000000009</v>
      </c>
      <c r="S353" s="491">
        <v>-0.58615804000000005</v>
      </c>
      <c r="T353" s="491">
        <v>-0.58897392000000004</v>
      </c>
      <c r="U353" s="491">
        <v>-0.58897392000000004</v>
      </c>
      <c r="V353" s="491">
        <v>-0.48229886999999999</v>
      </c>
    </row>
    <row r="354" spans="2:22" outlineLevel="1">
      <c r="B354" s="555" t="s">
        <v>617</v>
      </c>
      <c r="C354" s="203">
        <f>IF('R6a - Net Debt input'!D194 = "","",'R6a - Net Debt input'!D194)</f>
        <v>43874</v>
      </c>
      <c r="D354" s="203">
        <f>IF('R6a - Net Debt input'!E194 = "","",'R6a - Net Debt input'!E194)</f>
        <v>51186</v>
      </c>
      <c r="E354" s="726" t="str">
        <f>IF('R6a - Net Debt input'!F194 = "","",'R6a - Net Debt input'!F194)</f>
        <v>20 YR SWAP: PAY 6M Libor +103 bp GBP 83.3 M RCV 1.15100% EUR 100.0 M MAT: 20-FEB-2040</v>
      </c>
      <c r="F354" s="727"/>
      <c r="G354" s="727"/>
      <c r="H354" s="727"/>
      <c r="I354" s="728"/>
      <c r="M354" s="491">
        <v>0.5</v>
      </c>
      <c r="N354" s="491">
        <v>0</v>
      </c>
      <c r="O354" s="491">
        <v>0</v>
      </c>
      <c r="P354" s="491">
        <v>0</v>
      </c>
      <c r="Q354" s="491">
        <v>0</v>
      </c>
      <c r="R354" s="491">
        <v>0</v>
      </c>
      <c r="S354" s="491">
        <v>0</v>
      </c>
      <c r="T354" s="491">
        <v>0</v>
      </c>
      <c r="U354" s="491">
        <v>0</v>
      </c>
      <c r="V354" s="491">
        <v>0</v>
      </c>
    </row>
    <row r="355" spans="2:22" outlineLevel="1">
      <c r="B355" s="555" t="s">
        <v>618</v>
      </c>
      <c r="C355" s="203">
        <f>IF('R6a - Net Debt input'!D195 = "","",'R6a - Net Debt input'!D195)</f>
        <v>43895</v>
      </c>
      <c r="D355" s="203">
        <f>IF('R6a - Net Debt input'!E195 = "","",'R6a - Net Debt input'!E195)</f>
        <v>48285</v>
      </c>
      <c r="E355" s="726" t="str">
        <f>IF('R6a - Net Debt input'!F195 = "","",'R6a - Net Debt input'!F195)</f>
        <v>12 YR SWAP: PAY 1.33100% GBP 36.0 M RCV 2.02000% AUD 70.0 M MAT: 12-MAR-2032</v>
      </c>
      <c r="F355" s="727"/>
      <c r="G355" s="727"/>
      <c r="H355" s="727"/>
      <c r="I355" s="728"/>
      <c r="M355" s="491">
        <v>-0.3</v>
      </c>
      <c r="N355" s="491">
        <v>-0.32691829</v>
      </c>
      <c r="O355" s="491">
        <v>-0.32648717999999999</v>
      </c>
      <c r="P355" s="491">
        <v>-0.32779836000000001</v>
      </c>
      <c r="Q355" s="491">
        <v>-0.32779836000000001</v>
      </c>
      <c r="R355" s="491">
        <v>-0.32779837000000001</v>
      </c>
      <c r="S355" s="491">
        <v>-0.32648718999999998</v>
      </c>
      <c r="T355" s="491">
        <v>-0.32779836000000001</v>
      </c>
      <c r="U355" s="491">
        <v>-0.32779836000000001</v>
      </c>
      <c r="V355" s="491">
        <v>-0.32779836000000001</v>
      </c>
    </row>
    <row r="356" spans="2:22" outlineLevel="1">
      <c r="B356" s="555" t="s">
        <v>619</v>
      </c>
      <c r="C356" s="203">
        <f>IF('R6a - Net Debt input'!D196 = "","",'R6a - Net Debt input'!D196)</f>
        <v>44029</v>
      </c>
      <c r="D356" s="203">
        <f>IF('R6a - Net Debt input'!E196 = "","",'R6a - Net Debt input'!E196)</f>
        <v>49514</v>
      </c>
      <c r="E356" s="726" t="str">
        <f>IF('R6a - Net Debt input'!F196 = "","",'R6a - Net Debt input'!F196)</f>
        <v>15 YR SWAP: PAY 1.41800% GBP 30.6 M RCV 2.50000% AUD 55.0 M MAT: 24-JUL-2035</v>
      </c>
      <c r="F356" s="727"/>
      <c r="G356" s="727"/>
      <c r="H356" s="727"/>
      <c r="I356" s="728"/>
      <c r="M356" s="491">
        <v>-0.3</v>
      </c>
      <c r="N356" s="491">
        <v>-0.35092345000000003</v>
      </c>
      <c r="O356" s="491">
        <v>-0.34854315000000002</v>
      </c>
      <c r="P356" s="491">
        <v>-0.34973329999999997</v>
      </c>
      <c r="Q356" s="491">
        <v>-0.34973329999999997</v>
      </c>
      <c r="R356" s="491">
        <v>-0.34973329999999997</v>
      </c>
      <c r="S356" s="491">
        <v>-0.34854314000000003</v>
      </c>
      <c r="T356" s="491">
        <v>-0.34973329999999997</v>
      </c>
      <c r="U356" s="491">
        <v>-0.34973329999999997</v>
      </c>
      <c r="V356" s="491">
        <v>-0.34973329999999997</v>
      </c>
    </row>
    <row r="357" spans="2:22" outlineLevel="1">
      <c r="B357" s="555" t="s">
        <v>620</v>
      </c>
      <c r="C357" s="203">
        <f>IF('R6a - Net Debt input'!D197 = "","",'R6a - Net Debt input'!D197)</f>
        <v>44014</v>
      </c>
      <c r="D357" s="203">
        <f>IF('R6a - Net Debt input'!E197 = "","",'R6a - Net Debt input'!E197)</f>
        <v>48402</v>
      </c>
      <c r="E357" s="726" t="str">
        <f>IF('R6a - Net Debt input'!F197 = "","",'R6a - Net Debt input'!F197)</f>
        <v>12 YR SWAP: PAY 1.55460% GBP 162.3 M RCV 0.82300% EUR 180.0 M MAT: 07-JUL-2032</v>
      </c>
      <c r="F357" s="727"/>
      <c r="G357" s="727"/>
      <c r="H357" s="727"/>
      <c r="I357" s="728"/>
      <c r="M357" s="491">
        <v>1.2</v>
      </c>
      <c r="N357" s="491">
        <v>1.27151229</v>
      </c>
      <c r="O357" s="491">
        <v>1.2805579599999999</v>
      </c>
      <c r="P357" s="491">
        <v>1.276813</v>
      </c>
      <c r="Q357" s="491">
        <v>1.2745583200000001</v>
      </c>
      <c r="R357" s="491">
        <v>1.27500546</v>
      </c>
      <c r="S357" s="491">
        <v>1.2805579599999999</v>
      </c>
      <c r="T357" s="491">
        <v>1.276813</v>
      </c>
      <c r="U357" s="491">
        <v>1.2745583200000001</v>
      </c>
      <c r="V357" s="491">
        <v>1.27500546</v>
      </c>
    </row>
    <row r="358" spans="2:22" outlineLevel="1">
      <c r="B358" s="555" t="s">
        <v>621</v>
      </c>
      <c r="C358" s="203">
        <f>IF('R6a - Net Debt input'!D198 = "","",'R6a - Net Debt input'!D198)</f>
        <v>44014</v>
      </c>
      <c r="D358" s="203">
        <f>IF('R6a - Net Debt input'!E198 = "","",'R6a - Net Debt input'!E198)</f>
        <v>48402</v>
      </c>
      <c r="E358" s="726" t="str">
        <f>IF('R6a - Net Debt input'!F198 = "","",'R6a - Net Debt input'!F198)</f>
        <v>12 YR SWAP: PAY 1.55510% GBP 162.3 M RCV 0.82300% EUR 180.0 M MAT: 07-JUL-2032</v>
      </c>
      <c r="F358" s="727"/>
      <c r="G358" s="727"/>
      <c r="H358" s="727"/>
      <c r="I358" s="728"/>
      <c r="M358" s="491">
        <v>1.2</v>
      </c>
      <c r="N358" s="491">
        <v>1.2726007399999999</v>
      </c>
      <c r="O358" s="491">
        <v>1.2816523999999998</v>
      </c>
      <c r="P358" s="491">
        <v>1.2779044499999999</v>
      </c>
      <c r="Q358" s="491">
        <v>1.2756497600000001</v>
      </c>
      <c r="R358" s="491">
        <v>1.2760969</v>
      </c>
      <c r="S358" s="491">
        <v>1.2816523999999998</v>
      </c>
      <c r="T358" s="491">
        <v>1.2779044499999999</v>
      </c>
      <c r="U358" s="491">
        <v>1.27564977</v>
      </c>
      <c r="V358" s="491">
        <v>1.2760969099999999</v>
      </c>
    </row>
    <row r="359" spans="2:22" outlineLevel="1">
      <c r="B359" s="555" t="s">
        <v>622</v>
      </c>
      <c r="C359" s="203">
        <f>IF('R6a - Net Debt input'!D199 = "","",'R6a - Net Debt input'!D199)</f>
        <v>44014</v>
      </c>
      <c r="D359" s="203">
        <f>IF('R6a - Net Debt input'!E199 = "","",'R6a - Net Debt input'!E199)</f>
        <v>48402</v>
      </c>
      <c r="E359" s="726" t="str">
        <f>IF('R6a - Net Debt input'!F199 = "","",'R6a - Net Debt input'!F199)</f>
        <v>12 YR SWAP: PAY 1.55460% GBP 135.3 M RCV 0.82300% EUR 150.0 M MAT: 07-JUL-2032</v>
      </c>
      <c r="F359" s="727"/>
      <c r="G359" s="727"/>
      <c r="H359" s="727"/>
      <c r="I359" s="728"/>
      <c r="M359" s="491">
        <v>1</v>
      </c>
      <c r="N359" s="491">
        <v>1.06029123</v>
      </c>
      <c r="O359" s="491">
        <v>1.0678331200000002</v>
      </c>
      <c r="P359" s="491">
        <v>1.0647103999999998</v>
      </c>
      <c r="Q359" s="491">
        <v>1.0628314999999999</v>
      </c>
      <c r="R359" s="491">
        <v>1.0632041200000002</v>
      </c>
      <c r="S359" s="491">
        <v>1.0678331200000002</v>
      </c>
      <c r="T359" s="491">
        <v>1.06471041</v>
      </c>
      <c r="U359" s="491">
        <v>1.0628315100000001</v>
      </c>
      <c r="V359" s="491">
        <v>1.0632041200000002</v>
      </c>
    </row>
    <row r="360" spans="2:22" outlineLevel="1">
      <c r="B360" s="555" t="s">
        <v>623</v>
      </c>
      <c r="C360" s="203">
        <f>IF('R6a - Net Debt input'!D200 = "","",'R6a - Net Debt input'!D200)</f>
        <v>44014</v>
      </c>
      <c r="D360" s="203">
        <f>IF('R6a - Net Debt input'!E200 = "","",'R6a - Net Debt input'!E200)</f>
        <v>48402</v>
      </c>
      <c r="E360" s="726" t="str">
        <f>IF('R6a - Net Debt input'!F200 = "","",'R6a - Net Debt input'!F200)</f>
        <v>12 YR SWAP: PAY 6M Libor +113 bp GBP 216.4 M RCV 0.82300% EUR 240.0 M MAT: 07-JUL-2032</v>
      </c>
      <c r="F360" s="727"/>
      <c r="G360" s="727"/>
      <c r="H360" s="727"/>
      <c r="I360" s="728"/>
      <c r="M360" s="491">
        <v>0.2</v>
      </c>
      <c r="N360" s="491">
        <v>0</v>
      </c>
      <c r="O360" s="491">
        <v>0</v>
      </c>
      <c r="P360" s="491">
        <v>0</v>
      </c>
      <c r="Q360" s="491">
        <v>0</v>
      </c>
      <c r="R360" s="491">
        <v>0</v>
      </c>
      <c r="S360" s="491">
        <v>0</v>
      </c>
      <c r="T360" s="491">
        <v>0</v>
      </c>
      <c r="U360" s="491">
        <v>0</v>
      </c>
      <c r="V360" s="491">
        <v>0</v>
      </c>
    </row>
    <row r="361" spans="2:22" outlineLevel="1">
      <c r="B361" s="555" t="s">
        <v>624</v>
      </c>
      <c r="C361" s="203">
        <f>IF('R6a - Net Debt input'!D201 = "","",'R6a - Net Debt input'!D201)</f>
        <v>44154</v>
      </c>
      <c r="D361" s="203">
        <f>IF('R6a - Net Debt input'!E201 = "","",'R6a - Net Debt input'!E201)</f>
        <v>51466</v>
      </c>
      <c r="E361" s="726" t="str">
        <f>IF('R6a - Net Debt input'!F201 = "","",'R6a - Net Debt input'!F201)</f>
        <v>20 YR SWAP: PAY 6M Libor +100 bp GBP 179.1 M RCV 0.87200% EUR 200.0 M MAT: 26-NOV-2040</v>
      </c>
      <c r="F361" s="727"/>
      <c r="G361" s="727"/>
      <c r="H361" s="727"/>
      <c r="I361" s="728"/>
      <c r="M361" s="491">
        <v>0.3</v>
      </c>
      <c r="N361" s="491">
        <v>0</v>
      </c>
      <c r="O361" s="491">
        <v>0</v>
      </c>
      <c r="P361" s="491">
        <v>0</v>
      </c>
      <c r="Q361" s="491">
        <v>0</v>
      </c>
      <c r="R361" s="491">
        <v>0</v>
      </c>
      <c r="S361" s="491">
        <v>0</v>
      </c>
      <c r="T361" s="491">
        <v>0</v>
      </c>
      <c r="U361" s="491">
        <v>0</v>
      </c>
      <c r="V361" s="491">
        <v>0</v>
      </c>
    </row>
    <row r="362" spans="2:22" outlineLevel="1">
      <c r="B362" s="555" t="s">
        <v>625</v>
      </c>
      <c r="C362" s="203">
        <f>IF('R6a - Net Debt input'!D202 = "","",'R6a - Net Debt input'!D202)</f>
        <v>44167</v>
      </c>
      <c r="D362" s="203">
        <f>IF('R6a - Net Debt input'!E202 = "","",'R6a - Net Debt input'!E202)</f>
        <v>51466</v>
      </c>
      <c r="E362" s="726" t="str">
        <f>IF('R6a - Net Debt input'!F202 = "","",'R6a - Net Debt input'!F202)</f>
        <v>20.0 YR SWAP: PAY 1.65715% GBP 90.6 M RCV 0.87200% EUR 100.0 M MAT: 26-NOV-2040</v>
      </c>
      <c r="F362" s="727"/>
      <c r="G362" s="727"/>
      <c r="H362" s="727"/>
      <c r="I362" s="728"/>
      <c r="M362" s="491">
        <v>0.8</v>
      </c>
      <c r="N362" s="491">
        <v>0.76421391999999999</v>
      </c>
      <c r="O362" s="491">
        <v>0.76897609</v>
      </c>
      <c r="P362" s="491">
        <v>0.76789342000000005</v>
      </c>
      <c r="Q362" s="491">
        <v>0.76618318000000007</v>
      </c>
      <c r="R362" s="491">
        <v>0.76631341000000008</v>
      </c>
      <c r="S362" s="491">
        <v>0.76897609</v>
      </c>
      <c r="T362" s="491">
        <v>0.76789342000000005</v>
      </c>
      <c r="U362" s="491">
        <v>0.76618318000000007</v>
      </c>
      <c r="V362" s="491">
        <v>0.76631341000000008</v>
      </c>
    </row>
    <row r="363" spans="2:22" outlineLevel="1">
      <c r="B363" s="555" t="s">
        <v>626</v>
      </c>
      <c r="C363" s="203">
        <f>IF('R6a - Net Debt input'!D203 = "","",'R6a - Net Debt input'!D203)</f>
        <v>44167</v>
      </c>
      <c r="D363" s="203">
        <f>IF('R6a - Net Debt input'!E203 = "","",'R6a - Net Debt input'!E203)</f>
        <v>51466</v>
      </c>
      <c r="E363" s="726" t="str">
        <f>IF('R6a - Net Debt input'!F203 = "","",'R6a - Net Debt input'!F203)</f>
        <v>20.0 YR SWAP: PAY 1.66445% GBP 90.6 M RCV 0.87200% EUR 100.0 M MAT: 26-NOV-2040</v>
      </c>
      <c r="F363" s="727"/>
      <c r="G363" s="727"/>
      <c r="H363" s="727"/>
      <c r="I363" s="728"/>
      <c r="M363" s="491">
        <v>0.8</v>
      </c>
      <c r="N363" s="491">
        <v>0.77064216000000008</v>
      </c>
      <c r="O363" s="491">
        <v>0.77543963999999999</v>
      </c>
      <c r="P363" s="491">
        <v>0.77433930000000006</v>
      </c>
      <c r="Q363" s="491">
        <v>0.77262907999999997</v>
      </c>
      <c r="R363" s="491">
        <v>0.77275931000000009</v>
      </c>
      <c r="S363" s="491">
        <v>0.77543963999999999</v>
      </c>
      <c r="T363" s="491">
        <v>0.77433930000000006</v>
      </c>
      <c r="U363" s="491">
        <v>0.77262907999999997</v>
      </c>
      <c r="V363" s="491">
        <v>0.77275930000000004</v>
      </c>
    </row>
    <row r="364" spans="2:22" outlineLevel="1">
      <c r="B364" s="555" t="s">
        <v>627</v>
      </c>
      <c r="C364" s="203">
        <f>IF('R6a - Net Debt input'!D204 = "","",'R6a - Net Debt input'!D204)</f>
        <v>44167</v>
      </c>
      <c r="D364" s="203">
        <f>IF('R6a - Net Debt input'!E204 = "","",'R6a - Net Debt input'!E204)</f>
        <v>51466</v>
      </c>
      <c r="E364" s="726" t="str">
        <f>IF('R6a - Net Debt input'!F204 = "","",'R6a - Net Debt input'!F204)</f>
        <v>20.0 YR SWAP: PAY 1.66815% GBP 90.9 M RCV 0.87200% EUR 100.0 M MAT: 26-NOV-2040</v>
      </c>
      <c r="F364" s="727"/>
      <c r="G364" s="727"/>
      <c r="H364" s="727"/>
      <c r="I364" s="728"/>
      <c r="M364" s="491">
        <v>0.8</v>
      </c>
      <c r="N364" s="491">
        <v>0.77864208999999995</v>
      </c>
      <c r="O364" s="491">
        <v>0.78348353000000004</v>
      </c>
      <c r="P364" s="491">
        <v>0.78236120999999992</v>
      </c>
      <c r="Q364" s="491">
        <v>0.78065099000000004</v>
      </c>
      <c r="R364" s="491">
        <v>0.78078121999999994</v>
      </c>
      <c r="S364" s="491">
        <v>0.78348353000000004</v>
      </c>
      <c r="T364" s="491">
        <v>0.78236120999999992</v>
      </c>
      <c r="U364" s="491">
        <v>0.78065099000000004</v>
      </c>
      <c r="V364" s="491">
        <v>0.78078121</v>
      </c>
    </row>
    <row r="365" spans="2:22" outlineLevel="1">
      <c r="B365" s="555" t="s">
        <v>628</v>
      </c>
      <c r="C365" s="203">
        <f>IF('R6a - Net Debt input'!D205 = "","",'R6a - Net Debt input'!D205)</f>
        <v>44350</v>
      </c>
      <c r="D365" s="203">
        <f>IF('R6a - Net Debt input'!E205 = "","",'R6a - Net Debt input'!E205)</f>
        <v>49836</v>
      </c>
      <c r="E365" s="726" t="str">
        <f>IF('R6a - Net Debt input'!F205 = "","",'R6a - Net Debt input'!F205)</f>
        <v>15 YR SWAP: PAY 2.09900% GBP 30.0 M RCV 3.35000% AUD 55.0 M MAT: 10-JUN-2036</v>
      </c>
      <c r="F365" s="727"/>
      <c r="G365" s="727"/>
      <c r="H365" s="727"/>
      <c r="I365" s="728"/>
      <c r="M365" s="491">
        <v>-0.3</v>
      </c>
      <c r="N365" s="491">
        <v>-0.42302811000000001</v>
      </c>
      <c r="O365" s="491">
        <v>-0.41957911999999997</v>
      </c>
      <c r="P365" s="491">
        <v>-0.42130361</v>
      </c>
      <c r="Q365" s="491">
        <v>-0.42130361</v>
      </c>
      <c r="R365" s="491">
        <v>-0.42130361</v>
      </c>
      <c r="S365" s="491">
        <v>-0.41957911999999997</v>
      </c>
      <c r="T365" s="491">
        <v>-0.42130361</v>
      </c>
      <c r="U365" s="491">
        <v>-0.42130361</v>
      </c>
      <c r="V365" s="491">
        <v>-0.42130361</v>
      </c>
    </row>
    <row r="366" spans="2:22" outlineLevel="1">
      <c r="B366" s="555" t="s">
        <v>629</v>
      </c>
      <c r="C366" s="203">
        <f>IF('R6a - Net Debt input'!D206 = "","",'R6a - Net Debt input'!D206)</f>
        <v>44321</v>
      </c>
      <c r="D366" s="203">
        <f>IF('R6a - Net Debt input'!E206 = "","",'R6a - Net Debt input'!E206)</f>
        <v>48402</v>
      </c>
      <c r="E366" s="726" t="str">
        <f>IF('R6a - Net Debt input'!F206 = "","",'R6a - Net Debt input'!F206)</f>
        <v>11 YR SWAP: PAY 1D SONIA +140 bp GBP 216.4 M RCV 0.82300% EUR 240.0 M MAT: 07-JUL-2032</v>
      </c>
      <c r="F366" s="727"/>
      <c r="G366" s="727"/>
      <c r="H366" s="727"/>
      <c r="I366" s="728"/>
      <c r="M366" s="491">
        <v>1.2</v>
      </c>
      <c r="N366" s="491">
        <v>4.55155289</v>
      </c>
      <c r="O366" s="491">
        <v>6.5485180400000003</v>
      </c>
      <c r="P366" s="491">
        <v>5.7545889400000005</v>
      </c>
      <c r="Q366" s="491">
        <v>5.1758389899999999</v>
      </c>
      <c r="R366" s="491">
        <v>4.8361428000000002</v>
      </c>
      <c r="S366" s="491">
        <v>4.53915019</v>
      </c>
      <c r="T366" s="491">
        <v>4.3253427599999998</v>
      </c>
      <c r="U366" s="491">
        <v>4.3405432499999996</v>
      </c>
      <c r="V366" s="491">
        <v>4.4105951299999999</v>
      </c>
    </row>
    <row r="367" spans="2:22" outlineLevel="1">
      <c r="B367" s="555" t="s">
        <v>630</v>
      </c>
      <c r="C367" s="203">
        <f>IF('R6a - Net Debt input'!D207 = "","",'R6a - Net Debt input'!D207)</f>
        <v>44357</v>
      </c>
      <c r="D367" s="203">
        <f>IF('R6a - Net Debt input'!E207 = "","",'R6a - Net Debt input'!E207)</f>
        <v>46790</v>
      </c>
      <c r="E367" s="726" t="str">
        <f>IF('R6a - Net Debt input'!F207 = "","",'R6a - Net Debt input'!F207)</f>
        <v>6.5 YR SWAP: PAY 1D SONIA +114 bp GBP 24.6 M RCV 3.25000% HKD 300.0 M MAT: 07-FEB-2028</v>
      </c>
      <c r="F367" s="727"/>
      <c r="G367" s="727"/>
      <c r="H367" s="727"/>
      <c r="I367" s="728"/>
      <c r="M367" s="491">
        <v>-0.9</v>
      </c>
      <c r="N367" s="491">
        <v>-0.30251809999999996</v>
      </c>
      <c r="O367" s="491">
        <v>-7.210983E-2</v>
      </c>
      <c r="P367" s="491">
        <v>-0.16819135000000002</v>
      </c>
      <c r="Q367" s="491">
        <v>-0.23356225</v>
      </c>
      <c r="R367" s="491">
        <v>-0.27167128999999995</v>
      </c>
      <c r="S367" s="491">
        <v>-0.26115669000000002</v>
      </c>
      <c r="T367" s="491">
        <v>0</v>
      </c>
      <c r="U367" s="491">
        <v>0</v>
      </c>
      <c r="V367" s="491">
        <v>0</v>
      </c>
    </row>
    <row r="368" spans="2:22" outlineLevel="1">
      <c r="B368" s="555" t="s">
        <v>631</v>
      </c>
      <c r="C368" s="203">
        <f>IF('R6a - Net Debt input'!D208 = "","",'R6a - Net Debt input'!D208)</f>
        <v>44357</v>
      </c>
      <c r="D368" s="203">
        <f>IF('R6a - Net Debt input'!E208 = "","",'R6a - Net Debt input'!E208)</f>
        <v>49221</v>
      </c>
      <c r="E368" s="726" t="str">
        <f>IF('R6a - Net Debt input'!F208 = "","",'R6a - Net Debt input'!F208)</f>
        <v>13.0 YR SWAP: PAY 1D SONIA +132 bp GBP 38.2 M RCV 2.71000% AUD 70.0 M MAT: 04-OCT-2034</v>
      </c>
      <c r="F368" s="727"/>
      <c r="G368" s="727"/>
      <c r="H368" s="727"/>
      <c r="I368" s="728"/>
      <c r="M368" s="491">
        <v>-0.2</v>
      </c>
      <c r="N368" s="491">
        <v>2.431699E-2</v>
      </c>
      <c r="O368" s="491">
        <v>0.33680790999999999</v>
      </c>
      <c r="P368" s="491">
        <v>0.19275432000000001</v>
      </c>
      <c r="Q368" s="491">
        <v>9.0158860000000007E-2</v>
      </c>
      <c r="R368" s="491">
        <v>3.6597930000000001E-2</v>
      </c>
      <c r="S368" s="491">
        <v>-2.1187419999999998E-2</v>
      </c>
      <c r="T368" s="491">
        <v>-6.0466890000000002E-2</v>
      </c>
      <c r="U368" s="491">
        <v>-5.2112080000000005E-2</v>
      </c>
      <c r="V368" s="491">
        <v>-3.9788999999999998E-2</v>
      </c>
    </row>
    <row r="369" spans="2:22" outlineLevel="1">
      <c r="B369" s="555" t="s">
        <v>632</v>
      </c>
      <c r="C369" s="203">
        <f>IF('R6a - Net Debt input'!D209 = "","",'R6a - Net Debt input'!D209)</f>
        <v>44362</v>
      </c>
      <c r="D369" s="203">
        <f>IF('R6a - Net Debt input'!E209 = "","",'R6a - Net Debt input'!E209)</f>
        <v>47291</v>
      </c>
      <c r="E369" s="726" t="str">
        <f>IF('R6a - Net Debt input'!F209 = "","",'R6a - Net Debt input'!F209)</f>
        <v>8 YR SWAP: PAY 1D SONIA +96 bp GBP 174.9 M RCV 2.30100% CAD 300.0 M MAT: 22-JUN-2029</v>
      </c>
      <c r="F369" s="727"/>
      <c r="G369" s="727"/>
      <c r="H369" s="727"/>
      <c r="I369" s="728"/>
      <c r="M369" s="491">
        <v>-1.7</v>
      </c>
      <c r="N369" s="491">
        <v>9.0743149999999995E-2</v>
      </c>
      <c r="O369" s="491">
        <v>1.6219525700000001</v>
      </c>
      <c r="P369" s="491">
        <v>1.0153024499999999</v>
      </c>
      <c r="Q369" s="491">
        <v>0.54513906999999995</v>
      </c>
      <c r="R369" s="491">
        <v>0.27060588000000002</v>
      </c>
      <c r="S369" s="491">
        <v>2.4584999999999999E-2</v>
      </c>
      <c r="T369" s="491">
        <v>-0.13860175</v>
      </c>
      <c r="U369" s="491">
        <v>-3.8007760000000002E-2</v>
      </c>
      <c r="V369" s="491">
        <v>0</v>
      </c>
    </row>
    <row r="370" spans="2:22" outlineLevel="1">
      <c r="B370" s="555" t="s">
        <v>633</v>
      </c>
      <c r="C370" s="203">
        <f>IF('R6a - Net Debt input'!D210 = "","",'R6a - Net Debt input'!D210)</f>
        <v>44362</v>
      </c>
      <c r="D370" s="203">
        <f>IF('R6a - Net Debt input'!E210 = "","",'R6a - Net Debt input'!E210)</f>
        <v>47291</v>
      </c>
      <c r="E370" s="726" t="str">
        <f>IF('R6a - Net Debt input'!F210 = "","",'R6a - Net Debt input'!F210)</f>
        <v>8 YR SWAP: PAY 1.59395% GBP 145.8 M RCV 2.30100% CAD 250.0 M MAT: 22-JUN-2029</v>
      </c>
      <c r="F370" s="727"/>
      <c r="G370" s="727"/>
      <c r="H370" s="727"/>
      <c r="I370" s="728"/>
      <c r="M370" s="491">
        <v>-0.9</v>
      </c>
      <c r="N370" s="491">
        <v>-1.1803058500000001</v>
      </c>
      <c r="O370" s="491">
        <v>-1.1816974499999999</v>
      </c>
      <c r="P370" s="491">
        <v>-1.1789653100000002</v>
      </c>
      <c r="Q370" s="491">
        <v>-1.1836949999999999</v>
      </c>
      <c r="R370" s="491">
        <v>-1.1835749199999999</v>
      </c>
      <c r="S370" s="491">
        <v>-1.1816974599999999</v>
      </c>
      <c r="T370" s="491">
        <v>-1.1789653200000001</v>
      </c>
      <c r="U370" s="491">
        <v>-0.27145299000000001</v>
      </c>
      <c r="V370" s="491">
        <v>0</v>
      </c>
    </row>
    <row r="371" spans="2:22" outlineLevel="1">
      <c r="B371" s="555" t="s">
        <v>634</v>
      </c>
      <c r="C371" s="203">
        <f>IF('R6a - Net Debt input'!D211 = "","",'R6a - Net Debt input'!D211)</f>
        <v>44362</v>
      </c>
      <c r="D371" s="203">
        <f>IF('R6a - Net Debt input'!E211 = "","",'R6a - Net Debt input'!E211)</f>
        <v>47291</v>
      </c>
      <c r="E371" s="726" t="str">
        <f>IF('R6a - Net Debt input'!F211 = "","",'R6a - Net Debt input'!F211)</f>
        <v>8 YR SWAP: PAY 1.61045% GBP 175.1 M RCV 2.30100% CAD 300.0 M MAT: 22-JUN-2029</v>
      </c>
      <c r="F371" s="727"/>
      <c r="G371" s="727"/>
      <c r="H371" s="727"/>
      <c r="I371" s="728"/>
      <c r="M371" s="491">
        <v>-1</v>
      </c>
      <c r="N371" s="491">
        <v>-1.3857743500000002</v>
      </c>
      <c r="O371" s="491">
        <v>-1.38727618</v>
      </c>
      <c r="P371" s="491">
        <v>-1.3840816699999998</v>
      </c>
      <c r="Q371" s="491">
        <v>-1.3897573000000001</v>
      </c>
      <c r="R371" s="491">
        <v>-1.3896131899999999</v>
      </c>
      <c r="S371" s="491">
        <v>-1.38727618</v>
      </c>
      <c r="T371" s="491">
        <v>-1.3840816699999998</v>
      </c>
      <c r="U371" s="491">
        <v>-0.31876779</v>
      </c>
      <c r="V371" s="491">
        <v>0</v>
      </c>
    </row>
    <row r="372" spans="2:22" outlineLevel="1">
      <c r="B372" s="555" t="s">
        <v>635</v>
      </c>
      <c r="C372" s="203">
        <f>IF('R6a - Net Debt input'!D212 = "","",'R6a - Net Debt input'!D212)</f>
        <v>44392</v>
      </c>
      <c r="D372" s="203">
        <f>IF('R6a - Net Debt input'!E212 = "","",'R6a - Net Debt input'!E212)</f>
        <v>51186</v>
      </c>
      <c r="E372" s="726" t="str">
        <f>IF('R6a - Net Debt input'!F212 = "","",'R6a - Net Debt input'!F212)</f>
        <v>18.5 YR SWAP: PAY 1D SONIA +130 bp GBP 83.3 M RCV 1.15100% EUR 100.0 M MAT: 20-FEB-2040</v>
      </c>
      <c r="F372" s="727"/>
      <c r="G372" s="727"/>
      <c r="H372" s="727"/>
      <c r="I372" s="728"/>
      <c r="M372" s="491">
        <v>-0.3</v>
      </c>
      <c r="N372" s="491">
        <v>1.34281502</v>
      </c>
      <c r="O372" s="491">
        <v>2.1356951899999999</v>
      </c>
      <c r="P372" s="491">
        <v>1.7993496100000002</v>
      </c>
      <c r="Q372" s="491">
        <v>1.5752708500000001</v>
      </c>
      <c r="R372" s="491">
        <v>1.4487397099999999</v>
      </c>
      <c r="S372" s="491">
        <v>1.3301004400000001</v>
      </c>
      <c r="T372" s="491">
        <v>1.2493889299999998</v>
      </c>
      <c r="U372" s="491">
        <v>1.2575701499999998</v>
      </c>
      <c r="V372" s="491">
        <v>1.28426759</v>
      </c>
    </row>
    <row r="373" spans="2:22" outlineLevel="1">
      <c r="B373" s="555" t="s">
        <v>636</v>
      </c>
      <c r="C373" s="203">
        <f>IF('R6a - Net Debt input'!D213 = "","",'R6a - Net Debt input'!D213)</f>
        <v>44392</v>
      </c>
      <c r="D373" s="203">
        <f>IF('R6a - Net Debt input'!E213 = "","",'R6a - Net Debt input'!E213)</f>
        <v>51466</v>
      </c>
      <c r="E373" s="726" t="str">
        <f>IF('R6a - Net Debt input'!F213 = "","",'R6a - Net Debt input'!F213)</f>
        <v>19 YR SWAP: PAY 1D SONIA +127 bp GBP 179.1 M RCV 0.87200% EUR 200.0 M MAT: 26-NOV-2040</v>
      </c>
      <c r="F373" s="727"/>
      <c r="G373" s="727"/>
      <c r="H373" s="727"/>
      <c r="I373" s="728"/>
      <c r="M373" s="491">
        <v>0.4</v>
      </c>
      <c r="N373" s="491">
        <v>3.53556077</v>
      </c>
      <c r="O373" s="491">
        <v>5.0498283200000005</v>
      </c>
      <c r="P373" s="491">
        <v>4.4371440899999994</v>
      </c>
      <c r="Q373" s="491">
        <v>3.9586007300000001</v>
      </c>
      <c r="R373" s="491">
        <v>3.6815588799999999</v>
      </c>
      <c r="S373" s="491">
        <v>3.4312087200000003</v>
      </c>
      <c r="T373" s="491">
        <v>3.2546169200000001</v>
      </c>
      <c r="U373" s="491">
        <v>3.2710773199999998</v>
      </c>
      <c r="V373" s="491">
        <v>3.3287032799999996</v>
      </c>
    </row>
    <row r="374" spans="2:22" outlineLevel="1">
      <c r="B374" s="555" t="s">
        <v>637</v>
      </c>
      <c r="C374" s="203">
        <f>IF('R6a - Net Debt input'!D214 = "","",'R6a - Net Debt input'!D214)</f>
        <v>44393</v>
      </c>
      <c r="D374" s="203">
        <f>IF('R6a - Net Debt input'!E214 = "","",'R6a - Net Debt input'!E214)</f>
        <v>51466</v>
      </c>
      <c r="E374" s="726" t="str">
        <f>IF('R6a - Net Debt input'!F214 = "","",'R6a - Net Debt input'!F214)</f>
        <v>19.3 YR SWAP: PAY 1D SONIA +99 bp GBP 34.2 M RCV 0.87200% EUR 40.0 M MAT: 26-NOV-2040</v>
      </c>
      <c r="F374" s="727"/>
      <c r="G374" s="727"/>
      <c r="H374" s="727"/>
      <c r="I374" s="728"/>
      <c r="M374" s="491">
        <v>0</v>
      </c>
      <c r="N374" s="491">
        <v>0.56515103</v>
      </c>
      <c r="O374" s="491">
        <v>0.85361498000000002</v>
      </c>
      <c r="P374" s="491">
        <v>0.73698045999999995</v>
      </c>
      <c r="Q374" s="491">
        <v>0.64560072999999996</v>
      </c>
      <c r="R374" s="491">
        <v>0.59271892000000004</v>
      </c>
      <c r="S374" s="491">
        <v>0.54463864000000006</v>
      </c>
      <c r="T374" s="491">
        <v>0.51124928000000003</v>
      </c>
      <c r="U374" s="491">
        <v>0.51436020999999998</v>
      </c>
      <c r="V374" s="491">
        <v>0.52536273999999994</v>
      </c>
    </row>
    <row r="375" spans="2:22" outlineLevel="1">
      <c r="B375" s="555" t="s">
        <v>638</v>
      </c>
      <c r="C375" s="203">
        <f>IF('R6a - Net Debt input'!D215 = "","",'R6a - Net Debt input'!D215)</f>
        <v>44439</v>
      </c>
      <c r="D375" s="203">
        <f>IF('R6a - Net Debt input'!E215 = "","",'R6a - Net Debt input'!E215)</f>
        <v>48484</v>
      </c>
      <c r="E375" s="726" t="str">
        <f>IF('R6a - Net Debt input'!F215 = "","",'R6a - Net Debt input'!F215)</f>
        <v>11 YR SWAP: PAY 1D SONIA +137 bp GBP 80.5 M RCV 3.35000% EUR 100.0 M MAT: 27-SEP-2032</v>
      </c>
      <c r="F375" s="727"/>
      <c r="G375" s="727"/>
      <c r="H375" s="727"/>
      <c r="I375" s="728"/>
      <c r="M375" s="491">
        <v>-0.8</v>
      </c>
      <c r="N375" s="491">
        <v>-0.47149632000000002</v>
      </c>
      <c r="O375" s="491">
        <v>0.21771951</v>
      </c>
      <c r="P375" s="491">
        <v>-9.6386199999999991E-2</v>
      </c>
      <c r="Q375" s="491">
        <v>-0.31752261999999998</v>
      </c>
      <c r="R375" s="491">
        <v>-0.43069447</v>
      </c>
      <c r="S375" s="491">
        <v>-0.55114796999999993</v>
      </c>
      <c r="T375" s="491">
        <v>-0.62800465999999999</v>
      </c>
      <c r="U375" s="491">
        <v>-0.61808603000000006</v>
      </c>
      <c r="V375" s="491">
        <v>-0.5912781800000001</v>
      </c>
    </row>
    <row r="376" spans="2:22" outlineLevel="1">
      <c r="B376" s="555" t="s">
        <v>639</v>
      </c>
      <c r="C376" s="203">
        <f>IF('R6a - Net Debt input'!D216 = "","",'R6a - Net Debt input'!D216)</f>
        <v>44439</v>
      </c>
      <c r="D376" s="203">
        <f>IF('R6a - Net Debt input'!E216 = "","",'R6a - Net Debt input'!E216)</f>
        <v>49339</v>
      </c>
      <c r="E376" s="726" t="str">
        <f>IF('R6a - Net Debt input'!F216 = "","",'R6a - Net Debt input'!F216)</f>
        <v>13 YR SWAP: PAY 1D SONIA +129 bp GBP 84.0 M RCV 3.21000% EUR 100.0 M MAT: 30-JAN-2035</v>
      </c>
      <c r="F376" s="727"/>
      <c r="G376" s="727"/>
      <c r="H376" s="727"/>
      <c r="I376" s="728"/>
      <c r="M376" s="491">
        <v>-0.2</v>
      </c>
      <c r="N376" s="491">
        <v>-0.3828163</v>
      </c>
      <c r="O376" s="491">
        <v>0.40157271999999999</v>
      </c>
      <c r="P376" s="491">
        <v>8.4409850000000008E-2</v>
      </c>
      <c r="Q376" s="491">
        <v>-0.14498404999999998</v>
      </c>
      <c r="R376" s="491">
        <v>-0.27554616999999998</v>
      </c>
      <c r="S376" s="491">
        <v>-0.39737222999999999</v>
      </c>
      <c r="T376" s="491">
        <v>-0.47001315999999999</v>
      </c>
      <c r="U376" s="491">
        <v>-0.46782573999999999</v>
      </c>
      <c r="V376" s="491">
        <v>-0.44099094999999999</v>
      </c>
    </row>
    <row r="377" spans="2:22" outlineLevel="1">
      <c r="B377" s="555" t="s">
        <v>640</v>
      </c>
      <c r="C377" s="203">
        <f>IF('R6a - Net Debt input'!D217 = "","",'R6a - Net Debt input'!D217)</f>
        <v>44427</v>
      </c>
      <c r="D377" s="203">
        <f>IF('R6a - Net Debt input'!E217 = "","",'R6a - Net Debt input'!E217)</f>
        <v>46288</v>
      </c>
      <c r="E377" s="726" t="str">
        <f>IF('R6a - Net Debt input'!F217 = "","",'R6a - Net Debt input'!F217)</f>
        <v>5 YR SWAP: PAY 1D SONIA +141 bp GBP 20.3 M RCV 3.30000% HKD 250.0 M MAT: 23-SEP-2026</v>
      </c>
      <c r="F377" s="727"/>
      <c r="G377" s="727"/>
      <c r="H377" s="727"/>
      <c r="I377" s="728"/>
      <c r="M377" s="491">
        <v>-0.2</v>
      </c>
      <c r="N377" s="491">
        <v>-0.20199992999999999</v>
      </c>
      <c r="O377" s="491">
        <v>-2.4953490000000002E-2</v>
      </c>
      <c r="P377" s="491">
        <v>-0.10628826</v>
      </c>
      <c r="Q377" s="491">
        <v>-0.16031269000000001</v>
      </c>
      <c r="R377" s="491">
        <v>-9.0511190000000005E-2</v>
      </c>
      <c r="S377" s="491">
        <v>0</v>
      </c>
      <c r="T377" s="491">
        <v>0</v>
      </c>
      <c r="U377" s="491">
        <v>0</v>
      </c>
      <c r="V377" s="491">
        <v>0</v>
      </c>
    </row>
    <row r="378" spans="2:22" outlineLevel="1">
      <c r="B378" s="555" t="s">
        <v>641</v>
      </c>
      <c r="C378" s="203">
        <f>IF('R6a - Net Debt input'!D218 = "","",'R6a - Net Debt input'!D218)</f>
        <v>44427</v>
      </c>
      <c r="D378" s="203">
        <f>IF('R6a - Net Debt input'!E218 = "","",'R6a - Net Debt input'!E218)</f>
        <v>46734</v>
      </c>
      <c r="E378" s="726" t="str">
        <f>IF('R6a - Net Debt input'!F218 = "","",'R6a - Net Debt input'!F218)</f>
        <v>6 YR SWAP: PAY 1D SONIA +124 bp GBP 24.0 M RCV 3.10000% HKD 300.0 M MAT: 13-DEC-2027</v>
      </c>
      <c r="F378" s="727"/>
      <c r="G378" s="727"/>
      <c r="H378" s="727"/>
      <c r="I378" s="728"/>
      <c r="M378" s="491">
        <v>-0.2</v>
      </c>
      <c r="N378" s="491">
        <v>-0.24142514000000001</v>
      </c>
      <c r="O378" s="491">
        <v>-3.6292209999999998E-2</v>
      </c>
      <c r="P378" s="491">
        <v>-0.11806106</v>
      </c>
      <c r="Q378" s="491">
        <v>-0.18180551</v>
      </c>
      <c r="R378" s="491">
        <v>-0.21938501999999999</v>
      </c>
      <c r="S378" s="491">
        <v>-0.17568604999999998</v>
      </c>
      <c r="T378" s="491">
        <v>0</v>
      </c>
      <c r="U378" s="491">
        <v>0</v>
      </c>
      <c r="V378" s="491">
        <v>0</v>
      </c>
    </row>
    <row r="379" spans="2:22" outlineLevel="1">
      <c r="B379" s="555" t="s">
        <v>642</v>
      </c>
      <c r="C379" s="203">
        <f>IF('R6a - Net Debt input'!D219 = "","",'R6a - Net Debt input'!D219)</f>
        <v>44427</v>
      </c>
      <c r="D379" s="203">
        <f>IF('R6a - Net Debt input'!E219 = "","",'R6a - Net Debt input'!E219)</f>
        <v>45686</v>
      </c>
      <c r="E379" s="726" t="str">
        <f>IF('R6a - Net Debt input'!F219 = "","",'R6a - Net Debt input'!F219)</f>
        <v>3.0 YR SWAP: PAY 1D SONIA +111 bp GBP 134.7 M RCV 4.35000% NOK 1190.0 M MAT: 29-JAN-2025</v>
      </c>
      <c r="F379" s="727"/>
      <c r="G379" s="727"/>
      <c r="H379" s="727"/>
      <c r="I379" s="728"/>
      <c r="M379" s="491">
        <v>-0.4</v>
      </c>
      <c r="N379" s="491">
        <v>-1.00794271</v>
      </c>
      <c r="O379" s="491">
        <v>0.26705828999999998</v>
      </c>
      <c r="P379" s="491">
        <v>-0.15173482000000002</v>
      </c>
      <c r="Q379" s="491">
        <v>0</v>
      </c>
      <c r="R379" s="491">
        <v>0</v>
      </c>
      <c r="S379" s="491">
        <v>0</v>
      </c>
      <c r="T379" s="491">
        <v>0</v>
      </c>
      <c r="U379" s="491">
        <v>0</v>
      </c>
      <c r="V379" s="491">
        <v>0</v>
      </c>
    </row>
    <row r="380" spans="2:22" outlineLevel="1">
      <c r="B380" s="555" t="s">
        <v>643</v>
      </c>
      <c r="C380" s="203">
        <f>IF('R6a - Net Debt input'!D220 = "","",'R6a - Net Debt input'!D220)</f>
        <v>44462</v>
      </c>
      <c r="D380" s="203">
        <f>IF('R6a - Net Debt input'!E220 = "","",'R6a - Net Debt input'!E220)</f>
        <v>52870</v>
      </c>
      <c r="E380" s="726" t="str">
        <f>IF('R6a - Net Debt input'!F220 = "","",'R6a - Net Debt input'!F220)</f>
        <v>23 YR SWAP: RCV 2.92000% AUD 125.0 M PAY 1D SONIA +99 bp GBP 66.6 M MAT: 30-SEP-2044</v>
      </c>
      <c r="F380" s="727"/>
      <c r="G380" s="727"/>
      <c r="H380" s="727"/>
      <c r="I380" s="728"/>
      <c r="M380" s="491">
        <v>-0.6</v>
      </c>
      <c r="N380" s="491">
        <v>-0.38244644999999999</v>
      </c>
      <c r="O380" s="491">
        <v>0.18325882999999998</v>
      </c>
      <c r="P380" s="491">
        <v>-8.0749050000000003E-2</v>
      </c>
      <c r="Q380" s="491">
        <v>-0.26103660000000001</v>
      </c>
      <c r="R380" s="491">
        <v>-0.35516143999999999</v>
      </c>
      <c r="S380" s="491">
        <v>-0.45022295000000001</v>
      </c>
      <c r="T380" s="491">
        <v>-0.52306740000000007</v>
      </c>
      <c r="U380" s="491">
        <v>-0.50450328</v>
      </c>
      <c r="V380" s="491">
        <v>-0.49158451000000003</v>
      </c>
    </row>
    <row r="381" spans="2:22" outlineLevel="1">
      <c r="B381" s="555" t="s">
        <v>644</v>
      </c>
      <c r="C381" s="203">
        <f>IF('R6a - Net Debt input'!D221 = "","",'R6a - Net Debt input'!D221)</f>
        <v>44635</v>
      </c>
      <c r="D381" s="203">
        <f>IF('R6a - Net Debt input'!E221 = "","",'R6a - Net Debt input'!E221)</f>
        <v>51466</v>
      </c>
      <c r="E381" s="726" t="str">
        <f>IF('R6a - Net Debt input'!F221 = "","",'R6a - Net Debt input'!F221)</f>
        <v>19 YR SWAP: RCV 0.87200% EUR 100.0 M PAY 1.49440% GBP 84.4 M MAT: 26-NOV-2040</v>
      </c>
      <c r="F381" s="727"/>
      <c r="G381" s="727"/>
      <c r="H381" s="727"/>
      <c r="I381" s="728"/>
      <c r="M381" s="491">
        <v>0</v>
      </c>
      <c r="N381" s="491">
        <v>0.52435281</v>
      </c>
      <c r="O381" s="491">
        <v>0.52779706000000004</v>
      </c>
      <c r="P381" s="491">
        <v>0.52737333999999991</v>
      </c>
      <c r="Q381" s="491">
        <v>0.52566310999999999</v>
      </c>
      <c r="R381" s="491">
        <v>0.52579334</v>
      </c>
      <c r="S381" s="491">
        <v>0.52779706000000004</v>
      </c>
      <c r="T381" s="491">
        <v>0.52737333999999991</v>
      </c>
      <c r="U381" s="491">
        <v>0.52566310999999999</v>
      </c>
      <c r="V381" s="491">
        <v>0.52579334</v>
      </c>
    </row>
    <row r="382" spans="2:22" outlineLevel="1">
      <c r="B382" s="555" t="s">
        <v>645</v>
      </c>
      <c r="C382" s="203">
        <f>IF('R6a - Net Debt input'!D222 = "","",'R6a - Net Debt input'!D222)</f>
        <v>44403</v>
      </c>
      <c r="D382" s="203">
        <f>IF('R6a - Net Debt input'!E222 = "","",'R6a - Net Debt input'!E222)</f>
        <v>46288</v>
      </c>
      <c r="E382" s="726" t="str">
        <f>IF('R6a - Net Debt input'!F222 = "","",'R6a - Net Debt input'!F222)</f>
        <v>5.5 YR SWAP: PAY 6M Libor +115 bp GBP 20.3 M RCV 3.30000% HKD 250.0 M MAT: 23-SEP-2026</v>
      </c>
      <c r="F382" s="727"/>
      <c r="G382" s="727"/>
      <c r="H382" s="727"/>
      <c r="I382" s="728"/>
      <c r="M382" s="491">
        <v>-0.6</v>
      </c>
      <c r="N382" s="491">
        <v>0</v>
      </c>
      <c r="O382" s="491">
        <v>0</v>
      </c>
      <c r="P382" s="491">
        <v>0</v>
      </c>
      <c r="Q382" s="491">
        <v>0</v>
      </c>
      <c r="R382" s="491">
        <v>0</v>
      </c>
      <c r="S382" s="491">
        <v>0</v>
      </c>
      <c r="T382" s="491">
        <v>0</v>
      </c>
      <c r="U382" s="491">
        <v>0</v>
      </c>
      <c r="V382" s="491">
        <v>0</v>
      </c>
    </row>
    <row r="383" spans="2:22" outlineLevel="1">
      <c r="B383" s="555" t="s">
        <v>646</v>
      </c>
      <c r="C383" s="203">
        <f>IF('R6a - Net Debt input'!D223 = "","",'R6a - Net Debt input'!D223)</f>
        <v>44403</v>
      </c>
      <c r="D383" s="203">
        <f>IF('R6a - Net Debt input'!E223 = "","",'R6a - Net Debt input'!E223)</f>
        <v>46734</v>
      </c>
      <c r="E383" s="726" t="str">
        <f>IF('R6a - Net Debt input'!F223 = "","",'R6a - Net Debt input'!F223)</f>
        <v>6.5 YR SWAP: PAY 6M Libor +98 bp GBP 24.0 M RCV 3.10000% HKD 300.0 M MAT: 13-DEC-2027</v>
      </c>
      <c r="F383" s="727"/>
      <c r="G383" s="727"/>
      <c r="H383" s="727"/>
      <c r="I383" s="728"/>
      <c r="M383" s="491">
        <v>-0.8</v>
      </c>
      <c r="N383" s="491">
        <v>0</v>
      </c>
      <c r="O383" s="491">
        <v>0</v>
      </c>
      <c r="P383" s="491">
        <v>0</v>
      </c>
      <c r="Q383" s="491">
        <v>0</v>
      </c>
      <c r="R383" s="491">
        <v>0</v>
      </c>
      <c r="S383" s="491">
        <v>0</v>
      </c>
      <c r="T383" s="491">
        <v>0</v>
      </c>
      <c r="U383" s="491">
        <v>0</v>
      </c>
      <c r="V383" s="491">
        <v>0</v>
      </c>
    </row>
    <row r="384" spans="2:22" outlineLevel="1">
      <c r="B384" s="555" t="s">
        <v>647</v>
      </c>
      <c r="C384" s="203">
        <f>IF('R6a - Net Debt input'!D224 = "","",'R6a - Net Debt input'!D224)</f>
        <v>44403</v>
      </c>
      <c r="D384" s="203">
        <f>IF('R6a - Net Debt input'!E224 = "","",'R6a - Net Debt input'!E224)</f>
        <v>45686</v>
      </c>
      <c r="E384" s="726" t="str">
        <f>IF('R6a - Net Debt input'!F224 = "","",'R6a - Net Debt input'!F224)</f>
        <v>4 YR SWAP: PAY 6M Libor +83 bp GBP 134.7 M RCV 4.35000% NOK 1190.0 M MAT: 29-JAN-2025</v>
      </c>
      <c r="F384" s="727"/>
      <c r="G384" s="727"/>
      <c r="H384" s="727"/>
      <c r="I384" s="728"/>
      <c r="M384" s="491">
        <v>-3.1</v>
      </c>
      <c r="N384" s="491">
        <v>0</v>
      </c>
      <c r="O384" s="491">
        <v>0</v>
      </c>
      <c r="P384" s="491">
        <v>0</v>
      </c>
      <c r="Q384" s="491">
        <v>0</v>
      </c>
      <c r="R384" s="491">
        <v>0</v>
      </c>
      <c r="S384" s="491">
        <v>0</v>
      </c>
      <c r="T384" s="491">
        <v>0</v>
      </c>
      <c r="U384" s="491">
        <v>0</v>
      </c>
      <c r="V384" s="491">
        <v>0</v>
      </c>
    </row>
    <row r="385" spans="2:22" outlineLevel="1">
      <c r="B385" s="555"/>
      <c r="C385" s="203" t="str">
        <f>IF('R6a - Net Debt input'!D225 = "","",'R6a - Net Debt input'!D225)</f>
        <v/>
      </c>
      <c r="D385" s="203" t="str">
        <f>IF('R6a - Net Debt input'!E225 = "","",'R6a - Net Debt input'!E225)</f>
        <v/>
      </c>
      <c r="E385" s="726" t="str">
        <f>IF('R6a - Net Debt input'!F225 = "","",'R6a - Net Debt input'!F225)</f>
        <v/>
      </c>
      <c r="F385" s="727"/>
      <c r="G385" s="727"/>
      <c r="H385" s="727"/>
      <c r="I385" s="728"/>
      <c r="M385" s="491">
        <v>0</v>
      </c>
      <c r="N385" s="491">
        <v>0</v>
      </c>
      <c r="O385" s="491">
        <v>0</v>
      </c>
      <c r="P385" s="491">
        <v>0</v>
      </c>
      <c r="Q385" s="491">
        <v>0</v>
      </c>
      <c r="R385" s="491">
        <v>0</v>
      </c>
      <c r="S385" s="491">
        <v>0</v>
      </c>
      <c r="T385" s="491">
        <v>0</v>
      </c>
      <c r="U385" s="491">
        <v>0</v>
      </c>
      <c r="V385" s="491">
        <v>0</v>
      </c>
    </row>
    <row r="386" spans="2:22" outlineLevel="1">
      <c r="B386" s="555"/>
      <c r="C386" s="203" t="str">
        <f>IF('R6a - Net Debt input'!D227 = "","",'R6a - Net Debt input'!D227)</f>
        <v/>
      </c>
      <c r="D386" s="203" t="str">
        <f>IF('R6a - Net Debt input'!E227 = "","",'R6a - Net Debt input'!E227)</f>
        <v/>
      </c>
      <c r="E386" s="726" t="str">
        <f>IF('R6a - Net Debt input'!F227 = "","",'R6a - Net Debt input'!F227)</f>
        <v/>
      </c>
      <c r="F386" s="727"/>
      <c r="G386" s="727"/>
      <c r="H386" s="727"/>
      <c r="I386" s="728"/>
      <c r="M386" s="491">
        <v>0</v>
      </c>
      <c r="N386" s="491">
        <v>0</v>
      </c>
      <c r="O386" s="491">
        <v>0</v>
      </c>
      <c r="P386" s="491">
        <v>0</v>
      </c>
      <c r="Q386" s="491">
        <v>0</v>
      </c>
      <c r="R386" s="491">
        <v>0</v>
      </c>
      <c r="S386" s="491">
        <v>0</v>
      </c>
      <c r="T386" s="491">
        <v>0</v>
      </c>
      <c r="U386" s="491">
        <v>0</v>
      </c>
      <c r="V386" s="491">
        <v>0</v>
      </c>
    </row>
    <row r="387" spans="2:22" outlineLevel="1">
      <c r="B387" s="555"/>
      <c r="C387" s="203" t="str">
        <f>IF('R6a - Net Debt input'!D228 = "","",'R6a - Net Debt input'!D228)</f>
        <v/>
      </c>
      <c r="D387" s="203" t="str">
        <f>IF('R6a - Net Debt input'!E228 = "","",'R6a - Net Debt input'!E228)</f>
        <v/>
      </c>
      <c r="E387" s="726" t="str">
        <f>IF('R6a - Net Debt input'!F228 = "","",'R6a - Net Debt input'!F228)</f>
        <v/>
      </c>
      <c r="F387" s="727"/>
      <c r="G387" s="727"/>
      <c r="H387" s="727"/>
      <c r="I387" s="728"/>
      <c r="M387" s="491">
        <v>0</v>
      </c>
      <c r="N387" s="491">
        <v>0</v>
      </c>
      <c r="O387" s="491">
        <v>0</v>
      </c>
      <c r="P387" s="491">
        <v>0</v>
      </c>
      <c r="Q387" s="491">
        <v>0</v>
      </c>
      <c r="R387" s="491">
        <v>0</v>
      </c>
      <c r="S387" s="491">
        <v>0</v>
      </c>
      <c r="T387" s="491">
        <v>0</v>
      </c>
      <c r="U387" s="491">
        <v>0</v>
      </c>
      <c r="V387" s="491">
        <v>0</v>
      </c>
    </row>
    <row r="388" spans="2:22" outlineLevel="1">
      <c r="B388" s="555"/>
      <c r="C388" s="203" t="str">
        <f>IF('R6a - Net Debt input'!D229 = "","",'R6a - Net Debt input'!D229)</f>
        <v/>
      </c>
      <c r="D388" s="203" t="str">
        <f>IF('R6a - Net Debt input'!E229 = "","",'R6a - Net Debt input'!E229)</f>
        <v/>
      </c>
      <c r="E388" s="726" t="str">
        <f>IF('R6a - Net Debt input'!F229 = "","",'R6a - Net Debt input'!F229)</f>
        <v/>
      </c>
      <c r="F388" s="727"/>
      <c r="G388" s="727"/>
      <c r="H388" s="727"/>
      <c r="I388" s="728"/>
      <c r="M388" s="491">
        <v>0</v>
      </c>
      <c r="N388" s="491">
        <v>0</v>
      </c>
      <c r="O388" s="491">
        <v>0</v>
      </c>
      <c r="P388" s="491">
        <v>0</v>
      </c>
      <c r="Q388" s="491">
        <v>0</v>
      </c>
      <c r="R388" s="491">
        <v>0</v>
      </c>
      <c r="S388" s="491">
        <v>0</v>
      </c>
      <c r="T388" s="491">
        <v>0</v>
      </c>
      <c r="U388" s="491">
        <v>0</v>
      </c>
      <c r="V388" s="491">
        <v>0</v>
      </c>
    </row>
    <row r="389" spans="2:22" outlineLevel="1">
      <c r="B389" s="555"/>
      <c r="C389" s="203" t="str">
        <f>IF('R6a - Net Debt input'!D230 = "","",'R6a - Net Debt input'!D230)</f>
        <v/>
      </c>
      <c r="D389" s="203" t="str">
        <f>IF('R6a - Net Debt input'!E230 = "","",'R6a - Net Debt input'!E230)</f>
        <v/>
      </c>
      <c r="E389" s="726" t="str">
        <f>IF('R6a - Net Debt input'!F230 = "","",'R6a - Net Debt input'!F230)</f>
        <v/>
      </c>
      <c r="F389" s="727"/>
      <c r="G389" s="727"/>
      <c r="H389" s="727"/>
      <c r="I389" s="728"/>
      <c r="M389" s="491">
        <v>0</v>
      </c>
      <c r="N389" s="491">
        <v>0</v>
      </c>
      <c r="O389" s="491">
        <v>0</v>
      </c>
      <c r="P389" s="491">
        <v>0</v>
      </c>
      <c r="Q389" s="491">
        <v>0</v>
      </c>
      <c r="R389" s="491">
        <v>0</v>
      </c>
      <c r="S389" s="491">
        <v>0</v>
      </c>
      <c r="T389" s="491">
        <v>0</v>
      </c>
      <c r="U389" s="491">
        <v>0</v>
      </c>
      <c r="V389" s="491">
        <v>0</v>
      </c>
    </row>
    <row r="390" spans="2:22" outlineLevel="1">
      <c r="B390" s="321" t="s">
        <v>648</v>
      </c>
      <c r="C390" s="1403" t="s">
        <v>649</v>
      </c>
      <c r="D390" s="1404"/>
      <c r="E390" s="1404"/>
      <c r="F390" s="1404"/>
      <c r="G390" s="1404"/>
      <c r="H390" s="1404"/>
      <c r="I390" s="1405"/>
      <c r="M390" s="491">
        <v>0</v>
      </c>
      <c r="N390" s="491">
        <v>0</v>
      </c>
      <c r="O390" s="491">
        <v>0</v>
      </c>
      <c r="P390" s="491">
        <v>0</v>
      </c>
      <c r="Q390" s="491">
        <v>0</v>
      </c>
      <c r="R390" s="491">
        <v>0</v>
      </c>
      <c r="S390" s="491">
        <v>0</v>
      </c>
      <c r="T390" s="491">
        <v>0</v>
      </c>
      <c r="U390" s="491">
        <v>0</v>
      </c>
      <c r="V390" s="491">
        <v>0</v>
      </c>
    </row>
    <row r="391" spans="2:22">
      <c r="B391" s="169"/>
      <c r="E391" s="169"/>
      <c r="F391" s="169"/>
      <c r="G391" s="169"/>
      <c r="H391" s="169"/>
      <c r="L391" s="985" t="s">
        <v>650</v>
      </c>
      <c r="M391" s="487">
        <f t="shared" ref="M391:V391" si="39">SUM(M340:M390)</f>
        <v>-1.3000000000000009</v>
      </c>
      <c r="N391" s="488">
        <f t="shared" si="39"/>
        <v>13.990934769999999</v>
      </c>
      <c r="O391" s="488">
        <f t="shared" si="39"/>
        <v>24.449706539999998</v>
      </c>
      <c r="P391" s="488">
        <f t="shared" si="39"/>
        <v>19.28157908</v>
      </c>
      <c r="Q391" s="488">
        <f t="shared" si="39"/>
        <v>12.61238161</v>
      </c>
      <c r="R391" s="488">
        <f t="shared" si="39"/>
        <v>11.146531449999998</v>
      </c>
      <c r="S391" s="488">
        <f t="shared" si="39"/>
        <v>10.044985229999998</v>
      </c>
      <c r="T391" s="489">
        <f t="shared" si="39"/>
        <v>9.8175838300000002</v>
      </c>
      <c r="U391" s="490">
        <f t="shared" si="39"/>
        <v>11.951917899999998</v>
      </c>
      <c r="V391" s="488">
        <f t="shared" si="39"/>
        <v>12.932960380000001</v>
      </c>
    </row>
    <row r="392" spans="2:22">
      <c r="B392" s="169"/>
    </row>
    <row r="393" spans="2:22" ht="17.5" outlineLevel="1">
      <c r="C393" s="150"/>
      <c r="D393" s="265" t="s">
        <v>533</v>
      </c>
      <c r="E393" s="266"/>
      <c r="F393" s="266"/>
      <c r="G393" s="266"/>
      <c r="H393" s="266"/>
      <c r="I393" s="266"/>
      <c r="J393" s="266"/>
      <c r="K393" s="266"/>
      <c r="L393" s="304"/>
      <c r="M393" s="266"/>
      <c r="N393" s="266"/>
      <c r="O393" s="266"/>
      <c r="P393" s="266"/>
      <c r="Q393" s="266"/>
      <c r="R393" s="266"/>
      <c r="S393" s="266"/>
      <c r="T393" s="266"/>
      <c r="U393" s="284"/>
      <c r="V393" s="266"/>
    </row>
    <row r="394" spans="2:22">
      <c r="B394" s="169"/>
      <c r="E394" s="169"/>
      <c r="F394" s="169"/>
      <c r="G394" s="169"/>
      <c r="H394" s="169"/>
    </row>
    <row r="395" spans="2:22" ht="31.5" customHeight="1" outlineLevel="1">
      <c r="B395" s="1182"/>
      <c r="C395" s="777" t="s">
        <v>599</v>
      </c>
      <c r="D395" s="778" t="s">
        <v>600</v>
      </c>
      <c r="E395" s="1391" t="s">
        <v>601</v>
      </c>
      <c r="F395" s="1392"/>
      <c r="G395" s="1392"/>
      <c r="H395" s="1392"/>
      <c r="I395" s="1393"/>
      <c r="U395" s="283"/>
    </row>
    <row r="396" spans="2:22" s="521" customFormat="1" ht="45.75" customHeight="1" outlineLevel="1">
      <c r="B396" s="516" t="s">
        <v>468</v>
      </c>
      <c r="C396" s="517" t="s">
        <v>602</v>
      </c>
      <c r="D396" s="984" t="s">
        <v>602</v>
      </c>
      <c r="E396" s="1394"/>
      <c r="F396" s="1395"/>
      <c r="G396" s="1395"/>
      <c r="H396" s="1395"/>
      <c r="I396" s="1396"/>
      <c r="J396" s="151"/>
      <c r="K396" s="151"/>
      <c r="L396" s="151"/>
      <c r="M396" s="522" t="s">
        <v>469</v>
      </c>
      <c r="N396" s="523" t="s">
        <v>469</v>
      </c>
      <c r="O396" s="523" t="s">
        <v>469</v>
      </c>
      <c r="P396" s="523" t="s">
        <v>469</v>
      </c>
      <c r="Q396" s="523" t="s">
        <v>469</v>
      </c>
      <c r="R396" s="523" t="s">
        <v>469</v>
      </c>
      <c r="S396" s="523" t="s">
        <v>469</v>
      </c>
      <c r="T396" s="524" t="s">
        <v>469</v>
      </c>
      <c r="U396" s="525" t="s">
        <v>469</v>
      </c>
      <c r="V396" s="523" t="s">
        <v>469</v>
      </c>
    </row>
    <row r="397" spans="2:22" outlineLevel="1">
      <c r="B397" s="555" t="s">
        <v>603</v>
      </c>
      <c r="C397" s="203">
        <f>IF('R6a - Net Debt input'!D180 = "","",'R6a - Net Debt input'!D180)</f>
        <v>41171</v>
      </c>
      <c r="D397" s="203">
        <f>IF('R6a - Net Debt input'!E180 = "","",'R6a - Net Debt input'!E180)</f>
        <v>48484</v>
      </c>
      <c r="E397" s="1400" t="str">
        <f>IF('R6a - Net Debt input'!F180 = "","",'R6a - Net Debt input'!F180)</f>
        <v>20 YR SWAP: PAY 6M Libor +110 bp GBP 80.5 M RCV 3.35000% EUR 100.0 M MAT: 27-SEP-2032</v>
      </c>
      <c r="F397" s="1401"/>
      <c r="G397" s="1401"/>
      <c r="H397" s="1401"/>
      <c r="I397" s="1402"/>
      <c r="M397" s="491">
        <v>-2.4</v>
      </c>
      <c r="N397" s="491">
        <v>0</v>
      </c>
      <c r="O397" s="491">
        <v>0</v>
      </c>
      <c r="P397" s="491">
        <v>0</v>
      </c>
      <c r="Q397" s="491">
        <v>0</v>
      </c>
      <c r="R397" s="491">
        <v>0</v>
      </c>
      <c r="S397" s="491">
        <v>0</v>
      </c>
      <c r="T397" s="491">
        <v>0</v>
      </c>
      <c r="U397" s="491">
        <v>0</v>
      </c>
      <c r="V397" s="491">
        <v>0</v>
      </c>
    </row>
    <row r="398" spans="2:22" outlineLevel="1">
      <c r="B398" s="555" t="s">
        <v>604</v>
      </c>
      <c r="C398" s="203">
        <f>IF('R6a - Net Debt input'!D181 = "","",'R6a - Net Debt input'!D181)</f>
        <v>41297</v>
      </c>
      <c r="D398" s="203">
        <f>IF('R6a - Net Debt input'!E181 = "","",'R6a - Net Debt input'!E181)</f>
        <v>49339</v>
      </c>
      <c r="E398" s="1400" t="str">
        <f>IF('R6a - Net Debt input'!F181 = "","",'R6a - Net Debt input'!F181)</f>
        <v>22 YR SWAP: PAY 6M Libor +101 bp GBP 84.0 M RCV 3.21000% EUR 100.0 M MAT: 30-JAN-2035</v>
      </c>
      <c r="F398" s="1401"/>
      <c r="G398" s="1401"/>
      <c r="H398" s="1401"/>
      <c r="I398" s="1402"/>
      <c r="M398" s="491">
        <v>-1.8</v>
      </c>
      <c r="N398" s="491">
        <v>0</v>
      </c>
      <c r="O398" s="491">
        <v>0</v>
      </c>
      <c r="P398" s="491">
        <v>0</v>
      </c>
      <c r="Q398" s="491">
        <v>0</v>
      </c>
      <c r="R398" s="491">
        <v>0</v>
      </c>
      <c r="S398" s="491">
        <v>0</v>
      </c>
      <c r="T398" s="491">
        <v>0</v>
      </c>
      <c r="U398" s="491">
        <v>0</v>
      </c>
      <c r="V398" s="491">
        <v>0</v>
      </c>
    </row>
    <row r="399" spans="2:22" outlineLevel="1">
      <c r="B399" s="555" t="s">
        <v>605</v>
      </c>
      <c r="C399" s="203">
        <f>IF('R6a - Net Debt input'!D182 = "","",'R6a - Net Debt input'!D182)</f>
        <v>40802</v>
      </c>
      <c r="D399" s="203">
        <f>IF('R6a - Net Debt input'!E182 = "","",'R6a - Net Debt input'!E182)</f>
        <v>46288</v>
      </c>
      <c r="E399" s="1400" t="str">
        <f>IF('R6a - Net Debt input'!F182 = "","",'R6a - Net Debt input'!F182)</f>
        <v>15 YR SWAP: PAY 6M Libor +115 bp GBP 20.3 M RCV 3.30000% HKD 250.0 M MAT: 23-SEP-2026</v>
      </c>
      <c r="F399" s="1401"/>
      <c r="G399" s="1401"/>
      <c r="H399" s="1401"/>
      <c r="I399" s="1402"/>
      <c r="M399" s="491">
        <v>0</v>
      </c>
      <c r="N399" s="491">
        <v>0</v>
      </c>
      <c r="O399" s="491">
        <v>0</v>
      </c>
      <c r="P399" s="491">
        <v>0</v>
      </c>
      <c r="Q399" s="491">
        <v>0</v>
      </c>
      <c r="R399" s="491">
        <v>0</v>
      </c>
      <c r="S399" s="491">
        <v>0</v>
      </c>
      <c r="T399" s="491">
        <v>0</v>
      </c>
      <c r="U399" s="491">
        <v>0</v>
      </c>
      <c r="V399" s="491">
        <v>0</v>
      </c>
    </row>
    <row r="400" spans="2:22" outlineLevel="1">
      <c r="B400" s="555" t="s">
        <v>606</v>
      </c>
      <c r="C400" s="203">
        <f>IF('R6a - Net Debt input'!D183 = "","",'R6a - Net Debt input'!D183)</f>
        <v>41248</v>
      </c>
      <c r="D400" s="203">
        <f>IF('R6a - Net Debt input'!E183 = "","",'R6a - Net Debt input'!E183)</f>
        <v>46734</v>
      </c>
      <c r="E400" s="1400" t="str">
        <f>IF('R6a - Net Debt input'!F183 = "","",'R6a - Net Debt input'!F183)</f>
        <v>15 YR SWAP: PAY 6M Libor +98 bp GBP 24.0 M RCV 3.10000% HKD 300.0 M MAT: 13-DEC-2027</v>
      </c>
      <c r="F400" s="1401"/>
      <c r="G400" s="1401"/>
      <c r="H400" s="1401"/>
      <c r="I400" s="1402"/>
      <c r="M400" s="491">
        <v>0.1</v>
      </c>
      <c r="N400" s="491">
        <v>0</v>
      </c>
      <c r="O400" s="491">
        <v>0</v>
      </c>
      <c r="P400" s="491">
        <v>0</v>
      </c>
      <c r="Q400" s="491">
        <v>0</v>
      </c>
      <c r="R400" s="491">
        <v>0</v>
      </c>
      <c r="S400" s="491">
        <v>0</v>
      </c>
      <c r="T400" s="491">
        <v>0</v>
      </c>
      <c r="U400" s="491">
        <v>0</v>
      </c>
      <c r="V400" s="491">
        <v>0</v>
      </c>
    </row>
    <row r="401" spans="2:22" outlineLevel="1">
      <c r="B401" s="555" t="s">
        <v>607</v>
      </c>
      <c r="C401" s="203">
        <f>IF('R6a - Net Debt input'!D184 = "","",'R6a - Net Debt input'!D184)</f>
        <v>41302</v>
      </c>
      <c r="D401" s="203">
        <f>IF('R6a - Net Debt input'!E184 = "","",'R6a - Net Debt input'!E184)</f>
        <v>46790</v>
      </c>
      <c r="E401" s="1400" t="str">
        <f>IF('R6a - Net Debt input'!F184 = "","",'R6a - Net Debt input'!F184)</f>
        <v>15 YR SWAP: PAY 6M Libor +88 bp GBP 24.6 M RCV 3.25000% HKD 300.0 M MAT: 07-FEB-2028</v>
      </c>
      <c r="F401" s="1401"/>
      <c r="G401" s="1401"/>
      <c r="H401" s="1401"/>
      <c r="I401" s="1402"/>
      <c r="M401" s="491">
        <v>-0.3</v>
      </c>
      <c r="N401" s="491">
        <v>0</v>
      </c>
      <c r="O401" s="491">
        <v>0</v>
      </c>
      <c r="P401" s="491">
        <v>0</v>
      </c>
      <c r="Q401" s="491">
        <v>0</v>
      </c>
      <c r="R401" s="491">
        <v>0</v>
      </c>
      <c r="S401" s="491">
        <v>0</v>
      </c>
      <c r="T401" s="491">
        <v>0</v>
      </c>
      <c r="U401" s="491">
        <v>0</v>
      </c>
      <c r="V401" s="491">
        <v>0</v>
      </c>
    </row>
    <row r="402" spans="2:22" outlineLevel="1">
      <c r="B402" s="555" t="s">
        <v>608</v>
      </c>
      <c r="C402" s="203">
        <f>IF('R6a - Net Debt input'!D185 = "","",'R6a - Net Debt input'!D185)</f>
        <v>41296</v>
      </c>
      <c r="D402" s="203">
        <f>IF('R6a - Net Debt input'!E185 = "","",'R6a - Net Debt input'!E185)</f>
        <v>45686</v>
      </c>
      <c r="E402" s="1400" t="str">
        <f>IF('R6a - Net Debt input'!F185 = "","",'R6a - Net Debt input'!F185)</f>
        <v>12 YR SWAP: PAY 6M Libor +83 bp GBP 134.7 M RCV 4.35000% NOK 1190.0 M MAT: 29-JAN-2025</v>
      </c>
      <c r="F402" s="1401"/>
      <c r="G402" s="1401"/>
      <c r="H402" s="1401"/>
      <c r="I402" s="1402"/>
      <c r="M402" s="491">
        <v>0</v>
      </c>
      <c r="N402" s="491">
        <v>0</v>
      </c>
      <c r="O402" s="491">
        <v>0</v>
      </c>
      <c r="P402" s="491">
        <v>0</v>
      </c>
      <c r="Q402" s="491">
        <v>0</v>
      </c>
      <c r="R402" s="491">
        <v>0</v>
      </c>
      <c r="S402" s="491">
        <v>0</v>
      </c>
      <c r="T402" s="491">
        <v>0</v>
      </c>
      <c r="U402" s="491">
        <v>0</v>
      </c>
      <c r="V402" s="491">
        <v>0</v>
      </c>
    </row>
    <row r="403" spans="2:22" outlineLevel="1">
      <c r="B403" s="555" t="s">
        <v>609</v>
      </c>
      <c r="C403" s="203">
        <f>IF('R6a - Net Debt input'!D186 = "","",'R6a - Net Debt input'!D186)</f>
        <v>43431</v>
      </c>
      <c r="D403" s="203">
        <f>IF('R6a - Net Debt input'!E186 = "","",'R6a - Net Debt input'!E186)</f>
        <v>48918</v>
      </c>
      <c r="E403" s="1400" t="str">
        <f>IF('R6a - Net Debt input'!F186 = "","",'R6a - Net Debt input'!F186)</f>
        <v>15 YR SWAP: PAY 2.79350% GBP 91.2 M RCV 3.13500% NOK 1000.0 M MAT: 05-DEC-2033</v>
      </c>
      <c r="F403" s="1401"/>
      <c r="G403" s="1401"/>
      <c r="H403" s="1401"/>
      <c r="I403" s="1402"/>
      <c r="M403" s="491">
        <v>-0.1</v>
      </c>
      <c r="N403" s="491">
        <v>-0.17324685000000001</v>
      </c>
      <c r="O403" s="491">
        <v>-0.15927947000000001</v>
      </c>
      <c r="P403" s="491">
        <v>-0.16626315999999999</v>
      </c>
      <c r="Q403" s="491">
        <v>-0.16626315999999999</v>
      </c>
      <c r="R403" s="491">
        <v>-0.16626315999999999</v>
      </c>
      <c r="S403" s="491">
        <v>-0.15927947000000001</v>
      </c>
      <c r="T403" s="491">
        <v>-0.16626315999999999</v>
      </c>
      <c r="U403" s="491">
        <v>-0.16626315999999999</v>
      </c>
      <c r="V403" s="491">
        <v>-0.16626315999999999</v>
      </c>
    </row>
    <row r="404" spans="2:22" outlineLevel="1">
      <c r="B404" s="555" t="s">
        <v>610</v>
      </c>
      <c r="C404" s="203">
        <f>IF('R6a - Net Debt input'!D187 = "","",'R6a - Net Debt input'!D187)</f>
        <v>43504</v>
      </c>
      <c r="D404" s="203">
        <f>IF('R6a - Net Debt input'!E187 = "","",'R6a - Net Debt input'!E187)</f>
        <v>50816</v>
      </c>
      <c r="E404" s="1400" t="str">
        <f>IF('R6a - Net Debt input'!F187 = "","",'R6a - Net Debt input'!F187)</f>
        <v>20 YR SWAP: PAY 2.70600% GBP 98.4 M RCV 2.03700% EUR 112.5 M MAT: 15-FEB-2039</v>
      </c>
      <c r="F404" s="1401"/>
      <c r="G404" s="1401"/>
      <c r="H404" s="1401"/>
      <c r="I404" s="1402"/>
      <c r="M404" s="491">
        <v>0.7</v>
      </c>
      <c r="N404" s="491">
        <v>0.73074649000000003</v>
      </c>
      <c r="O404" s="491">
        <v>0.73564923999999998</v>
      </c>
      <c r="P404" s="491">
        <v>0.73739241</v>
      </c>
      <c r="Q404" s="491">
        <v>0.73283268000000001</v>
      </c>
      <c r="R404" s="491">
        <v>0.73275425999999999</v>
      </c>
      <c r="S404" s="491">
        <v>0.73564923999999998</v>
      </c>
      <c r="T404" s="491">
        <v>0.73739241</v>
      </c>
      <c r="U404" s="491">
        <v>0.73283268000000001</v>
      </c>
      <c r="V404" s="491">
        <v>0.73275425000000005</v>
      </c>
    </row>
    <row r="405" spans="2:22" outlineLevel="1">
      <c r="B405" s="555" t="s">
        <v>611</v>
      </c>
      <c r="C405" s="203">
        <f>IF('R6a - Net Debt input'!D188 = "","",'R6a - Net Debt input'!D188)</f>
        <v>43732</v>
      </c>
      <c r="D405" s="203">
        <f>IF('R6a - Net Debt input'!E188 = "","",'R6a - Net Debt input'!E188)</f>
        <v>49221</v>
      </c>
      <c r="E405" s="1400" t="str">
        <f>IF('R6a - Net Debt input'!F188 = "","",'R6a - Net Debt input'!F188)</f>
        <v>15 YR SWAP: PAY 6M Libor +105 bp GBP 38.2 M RCV 2.71000% AUD 70.0 M MAT: 04-OCT-2034</v>
      </c>
      <c r="F405" s="1401"/>
      <c r="G405" s="1401"/>
      <c r="H405" s="1401"/>
      <c r="I405" s="1402"/>
      <c r="M405" s="491">
        <v>-0.6</v>
      </c>
      <c r="N405" s="491">
        <v>0</v>
      </c>
      <c r="O405" s="491">
        <v>0</v>
      </c>
      <c r="P405" s="491">
        <v>0</v>
      </c>
      <c r="Q405" s="491">
        <v>0</v>
      </c>
      <c r="R405" s="491">
        <v>0</v>
      </c>
      <c r="S405" s="491">
        <v>0</v>
      </c>
      <c r="T405" s="491">
        <v>0</v>
      </c>
      <c r="U405" s="491">
        <v>0</v>
      </c>
      <c r="V405" s="491">
        <v>0</v>
      </c>
    </row>
    <row r="406" spans="2:22" outlineLevel="1">
      <c r="B406" s="555" t="s">
        <v>612</v>
      </c>
      <c r="C406" s="203">
        <f>IF('R6a - Net Debt input'!D189 = "","",'R6a - Net Debt input'!D189)</f>
        <v>43802</v>
      </c>
      <c r="D406" s="203">
        <f>IF('R6a - Net Debt input'!E189 = "","",'R6a - Net Debt input'!E189)</f>
        <v>51114</v>
      </c>
      <c r="E406" s="1400" t="str">
        <f>IF('R6a - Net Debt input'!F189 = "","",'R6a - Net Debt input'!F189)</f>
        <v>20 YR SWAP: PAY 2.21700% GBP 43.4 M RCV 3.12000% AUD 82.0 M MAT: 10-DEC-2039</v>
      </c>
      <c r="F406" s="1401"/>
      <c r="G406" s="1401"/>
      <c r="H406" s="1401"/>
      <c r="I406" s="1402"/>
      <c r="M406" s="491">
        <v>-0.4</v>
      </c>
      <c r="N406" s="491">
        <v>-0.49627303</v>
      </c>
      <c r="O406" s="491">
        <v>-0.49794332000000002</v>
      </c>
      <c r="P406" s="491">
        <v>-0.49452840000000003</v>
      </c>
      <c r="Q406" s="491">
        <v>-0.49780365000000004</v>
      </c>
      <c r="R406" s="491">
        <v>-0.49763641999999997</v>
      </c>
      <c r="S406" s="491">
        <v>-0.49794332000000002</v>
      </c>
      <c r="T406" s="491">
        <v>-0.49452840000000003</v>
      </c>
      <c r="U406" s="491">
        <v>-0.49780365000000004</v>
      </c>
      <c r="V406" s="491">
        <v>-0.49763641999999997</v>
      </c>
    </row>
    <row r="407" spans="2:22" outlineLevel="1">
      <c r="B407" s="555" t="s">
        <v>613</v>
      </c>
      <c r="C407" s="203">
        <f>IF('R6a - Net Debt input'!D190 = "","",'R6a - Net Debt input'!D190)</f>
        <v>43843</v>
      </c>
      <c r="D407" s="203">
        <f>IF('R6a - Net Debt input'!E190 = "","",'R6a - Net Debt input'!E190)</f>
        <v>45677</v>
      </c>
      <c r="E407" s="1400" t="str">
        <f>IF('R6a - Net Debt input'!F190 = "","",'R6a - Net Debt input'!F190)</f>
        <v>5 YR SWAP: PAY 1.35180% GBP 342.5 M RCV 0.19000% EUR 400.0 M MAT: 20-JAN-2025</v>
      </c>
      <c r="F407" s="1401"/>
      <c r="G407" s="1401"/>
      <c r="H407" s="1401"/>
      <c r="I407" s="1402"/>
      <c r="M407" s="491">
        <v>4</v>
      </c>
      <c r="N407" s="491">
        <v>3.9788731899999998</v>
      </c>
      <c r="O407" s="491">
        <v>4.0011281700000003</v>
      </c>
      <c r="P407" s="491">
        <v>3.2260468199999996</v>
      </c>
      <c r="Q407" s="491">
        <v>0</v>
      </c>
      <c r="R407" s="491">
        <v>0</v>
      </c>
      <c r="S407" s="491">
        <v>0</v>
      </c>
      <c r="T407" s="491">
        <v>0</v>
      </c>
      <c r="U407" s="491">
        <v>0</v>
      </c>
      <c r="V407" s="491">
        <v>0</v>
      </c>
    </row>
    <row r="408" spans="2:22" outlineLevel="1">
      <c r="B408" s="555" t="s">
        <v>614</v>
      </c>
      <c r="C408" s="203">
        <f>IF('R6a - Net Debt input'!D191 = "","",'R6a - Net Debt input'!D191)</f>
        <v>43843</v>
      </c>
      <c r="D408" s="203">
        <f>IF('R6a - Net Debt input'!E191 = "","",'R6a - Net Debt input'!E191)</f>
        <v>45677</v>
      </c>
      <c r="E408" s="1400" t="str">
        <f>IF('R6a - Net Debt input'!F191 = "","",'R6a - Net Debt input'!F191)</f>
        <v>5 YR SWAP: PAY 1.34600% GBP 85.8 M RCV 0.19000% EUR 100.0 M MAT: 20-JAN-2025</v>
      </c>
      <c r="F408" s="1401"/>
      <c r="G408" s="1401"/>
      <c r="H408" s="1401"/>
      <c r="I408" s="1402"/>
      <c r="M408" s="491">
        <v>1</v>
      </c>
      <c r="N408" s="491">
        <v>0.99155457999999996</v>
      </c>
      <c r="O408" s="491">
        <v>0.99710093999999994</v>
      </c>
      <c r="P408" s="491">
        <v>0.80394769999999993</v>
      </c>
      <c r="Q408" s="491">
        <v>0</v>
      </c>
      <c r="R408" s="491">
        <v>0</v>
      </c>
      <c r="S408" s="491">
        <v>0</v>
      </c>
      <c r="T408" s="491">
        <v>0</v>
      </c>
      <c r="U408" s="491">
        <v>0</v>
      </c>
      <c r="V408" s="491">
        <v>0</v>
      </c>
    </row>
    <row r="409" spans="2:22" outlineLevel="1">
      <c r="B409" s="555" t="s">
        <v>615</v>
      </c>
      <c r="C409" s="203">
        <f>IF('R6a - Net Debt input'!D192 = "","",'R6a - Net Debt input'!D192)</f>
        <v>43846</v>
      </c>
      <c r="D409" s="203">
        <f>IF('R6a - Net Debt input'!E192 = "","",'R6a - Net Debt input'!E192)</f>
        <v>46776</v>
      </c>
      <c r="E409" s="1400" t="str">
        <f>IF('R6a - Net Debt input'!F192 = "","",'R6a - Net Debt input'!F192)</f>
        <v>8 YR SWAP: RCV 2.24500% HKD 422.0 M PAY 1.38400% GBP 41.6 M MAT: 24-JAN-2028</v>
      </c>
      <c r="F409" s="1401"/>
      <c r="G409" s="1401"/>
      <c r="H409" s="1401"/>
      <c r="I409" s="1402"/>
      <c r="M409" s="491">
        <v>-0.3</v>
      </c>
      <c r="N409" s="491">
        <v>-0.34372990000000003</v>
      </c>
      <c r="O409" s="491">
        <v>-0.34561852000000004</v>
      </c>
      <c r="P409" s="491">
        <v>-0.34467421000000004</v>
      </c>
      <c r="Q409" s="491">
        <v>-0.34467421000000004</v>
      </c>
      <c r="R409" s="491">
        <v>-0.34467421000000004</v>
      </c>
      <c r="S409" s="491">
        <v>-0.28234956999999999</v>
      </c>
      <c r="T409" s="491">
        <v>0</v>
      </c>
      <c r="U409" s="491">
        <v>0</v>
      </c>
      <c r="V409" s="491">
        <v>0</v>
      </c>
    </row>
    <row r="410" spans="2:22" outlineLevel="1">
      <c r="B410" s="555" t="s">
        <v>616</v>
      </c>
      <c r="C410" s="203">
        <f>IF('R6a - Net Debt input'!D193 = "","",'R6a - Net Debt input'!D193)</f>
        <v>43852</v>
      </c>
      <c r="D410" s="203">
        <f>IF('R6a - Net Debt input'!E193 = "","",'R6a - Net Debt input'!E193)</f>
        <v>47877</v>
      </c>
      <c r="E410" s="1400" t="str">
        <f>IF('R6a - Net Debt input'!F193 = "","",'R6a - Net Debt input'!F193)</f>
        <v>11 YR SWAP: RCV 2.50000% USD 85.0 M PAY 1.57700% GBP 65.2 M MAT: 29-JAN-2031</v>
      </c>
      <c r="F410" s="1401"/>
      <c r="G410" s="1401"/>
      <c r="H410" s="1401"/>
      <c r="I410" s="1402"/>
      <c r="M410" s="491">
        <v>-0.5</v>
      </c>
      <c r="N410" s="491">
        <v>-0.59178980000000003</v>
      </c>
      <c r="O410" s="491">
        <v>-0.5861580500000001</v>
      </c>
      <c r="P410" s="491">
        <v>-0.58897393000000009</v>
      </c>
      <c r="Q410" s="491">
        <v>-0.58897393000000009</v>
      </c>
      <c r="R410" s="491">
        <v>-0.58897393000000009</v>
      </c>
      <c r="S410" s="491">
        <v>-0.58615804000000005</v>
      </c>
      <c r="T410" s="491">
        <v>-0.58897392000000004</v>
      </c>
      <c r="U410" s="491">
        <v>-0.58897392000000004</v>
      </c>
      <c r="V410" s="491">
        <v>-0.48229886999999999</v>
      </c>
    </row>
    <row r="411" spans="2:22" outlineLevel="1">
      <c r="B411" s="555" t="s">
        <v>617</v>
      </c>
      <c r="C411" s="203">
        <f>IF('R6a - Net Debt input'!D194 = "","",'R6a - Net Debt input'!D194)</f>
        <v>43874</v>
      </c>
      <c r="D411" s="203">
        <f>IF('R6a - Net Debt input'!E194 = "","",'R6a - Net Debt input'!E194)</f>
        <v>51186</v>
      </c>
      <c r="E411" s="1400" t="str">
        <f>IF('R6a - Net Debt input'!F194 = "","",'R6a - Net Debt input'!F194)</f>
        <v>20 YR SWAP: PAY 6M Libor +103 bp GBP 83.3 M RCV 1.15100% EUR 100.0 M MAT: 20-FEB-2040</v>
      </c>
      <c r="F411" s="1401"/>
      <c r="G411" s="1401"/>
      <c r="H411" s="1401"/>
      <c r="I411" s="1402"/>
      <c r="M411" s="491">
        <v>0</v>
      </c>
      <c r="N411" s="491">
        <v>0</v>
      </c>
      <c r="O411" s="491">
        <v>0</v>
      </c>
      <c r="P411" s="491">
        <v>0</v>
      </c>
      <c r="Q411" s="491">
        <v>0</v>
      </c>
      <c r="R411" s="491">
        <v>0</v>
      </c>
      <c r="S411" s="491">
        <v>0</v>
      </c>
      <c r="T411" s="491">
        <v>0</v>
      </c>
      <c r="U411" s="491">
        <v>0</v>
      </c>
      <c r="V411" s="491">
        <v>0</v>
      </c>
    </row>
    <row r="412" spans="2:22" outlineLevel="1">
      <c r="B412" s="555" t="s">
        <v>618</v>
      </c>
      <c r="C412" s="203">
        <f>IF('R6a - Net Debt input'!D195 = "","",'R6a - Net Debt input'!D195)</f>
        <v>43895</v>
      </c>
      <c r="D412" s="203">
        <f>IF('R6a - Net Debt input'!E195 = "","",'R6a - Net Debt input'!E195)</f>
        <v>48285</v>
      </c>
      <c r="E412" s="1400" t="str">
        <f>IF('R6a - Net Debt input'!F195 = "","",'R6a - Net Debt input'!F195)</f>
        <v>12 YR SWAP: PAY 1.33100% GBP 36.0 M RCV 2.02000% AUD 70.0 M MAT: 12-MAR-2032</v>
      </c>
      <c r="F412" s="1401"/>
      <c r="G412" s="1401"/>
      <c r="H412" s="1401"/>
      <c r="I412" s="1402"/>
      <c r="M412" s="491">
        <v>-0.3</v>
      </c>
      <c r="N412" s="491">
        <v>-0.32691829</v>
      </c>
      <c r="O412" s="491">
        <v>-0.32648717999999999</v>
      </c>
      <c r="P412" s="491">
        <v>-0.32779836000000001</v>
      </c>
      <c r="Q412" s="491">
        <v>-0.32779836000000001</v>
      </c>
      <c r="R412" s="491">
        <v>-0.32779837000000001</v>
      </c>
      <c r="S412" s="491">
        <v>-0.32648718999999998</v>
      </c>
      <c r="T412" s="491">
        <v>-0.32779836000000001</v>
      </c>
      <c r="U412" s="491">
        <v>-0.32779836000000001</v>
      </c>
      <c r="V412" s="491">
        <v>-0.32779836000000001</v>
      </c>
    </row>
    <row r="413" spans="2:22" outlineLevel="1">
      <c r="B413" s="555" t="s">
        <v>619</v>
      </c>
      <c r="C413" s="203">
        <f>IF('R6a - Net Debt input'!D196 = "","",'R6a - Net Debt input'!D196)</f>
        <v>44029</v>
      </c>
      <c r="D413" s="203">
        <f>IF('R6a - Net Debt input'!E196 = "","",'R6a - Net Debt input'!E196)</f>
        <v>49514</v>
      </c>
      <c r="E413" s="1400" t="str">
        <f>IF('R6a - Net Debt input'!F196 = "","",'R6a - Net Debt input'!F196)</f>
        <v>15 YR SWAP: PAY 1.41800% GBP 30.6 M RCV 2.50000% AUD 55.0 M MAT: 24-JUL-2035</v>
      </c>
      <c r="F413" s="1401"/>
      <c r="G413" s="1401"/>
      <c r="H413" s="1401"/>
      <c r="I413" s="1402"/>
      <c r="M413" s="491">
        <v>-0.3</v>
      </c>
      <c r="N413" s="491">
        <v>-0.35092345000000003</v>
      </c>
      <c r="O413" s="491">
        <v>-0.34854315000000002</v>
      </c>
      <c r="P413" s="491">
        <v>-0.34973329999999997</v>
      </c>
      <c r="Q413" s="491">
        <v>-0.34973329999999997</v>
      </c>
      <c r="R413" s="491">
        <v>-0.34973329999999997</v>
      </c>
      <c r="S413" s="491">
        <v>-0.34854314000000003</v>
      </c>
      <c r="T413" s="491">
        <v>-0.34973329999999997</v>
      </c>
      <c r="U413" s="491">
        <v>-0.34973329999999997</v>
      </c>
      <c r="V413" s="491">
        <v>-0.34973329999999997</v>
      </c>
    </row>
    <row r="414" spans="2:22" outlineLevel="1">
      <c r="B414" s="555" t="s">
        <v>620</v>
      </c>
      <c r="C414" s="203">
        <f>IF('R6a - Net Debt input'!D197 = "","",'R6a - Net Debt input'!D197)</f>
        <v>44014</v>
      </c>
      <c r="D414" s="203">
        <f>IF('R6a - Net Debt input'!E197 = "","",'R6a - Net Debt input'!E197)</f>
        <v>48402</v>
      </c>
      <c r="E414" s="1400" t="str">
        <f>IF('R6a - Net Debt input'!F197 = "","",'R6a - Net Debt input'!F197)</f>
        <v>12 YR SWAP: PAY 1.55460% GBP 162.3 M RCV 0.82300% EUR 180.0 M MAT: 07-JUL-2032</v>
      </c>
      <c r="F414" s="1401"/>
      <c r="G414" s="1401"/>
      <c r="H414" s="1401"/>
      <c r="I414" s="1402"/>
      <c r="M414" s="491">
        <v>1.3</v>
      </c>
      <c r="N414" s="491">
        <v>1.27151229</v>
      </c>
      <c r="O414" s="491">
        <v>1.2805579599999999</v>
      </c>
      <c r="P414" s="491">
        <v>1.276813</v>
      </c>
      <c r="Q414" s="491">
        <v>1.2745583200000001</v>
      </c>
      <c r="R414" s="491">
        <v>1.27500546</v>
      </c>
      <c r="S414" s="491">
        <v>1.2805579599999999</v>
      </c>
      <c r="T414" s="491">
        <v>1.276813</v>
      </c>
      <c r="U414" s="491">
        <v>1.2745583200000001</v>
      </c>
      <c r="V414" s="491">
        <v>1.27500546</v>
      </c>
    </row>
    <row r="415" spans="2:22" outlineLevel="1">
      <c r="B415" s="555" t="s">
        <v>621</v>
      </c>
      <c r="C415" s="203">
        <f>IF('R6a - Net Debt input'!D198 = "","",'R6a - Net Debt input'!D198)</f>
        <v>44014</v>
      </c>
      <c r="D415" s="203">
        <f>IF('R6a - Net Debt input'!E198 = "","",'R6a - Net Debt input'!E198)</f>
        <v>48402</v>
      </c>
      <c r="E415" s="1400" t="str">
        <f>IF('R6a - Net Debt input'!F198 = "","",'R6a - Net Debt input'!F198)</f>
        <v>12 YR SWAP: PAY 1.55510% GBP 162.3 M RCV 0.82300% EUR 180.0 M MAT: 07-JUL-2032</v>
      </c>
      <c r="F415" s="1401"/>
      <c r="G415" s="1401"/>
      <c r="H415" s="1401"/>
      <c r="I415" s="1402"/>
      <c r="M415" s="491">
        <v>1.3</v>
      </c>
      <c r="N415" s="491">
        <v>1.2726007399999999</v>
      </c>
      <c r="O415" s="491">
        <v>1.2816523999999998</v>
      </c>
      <c r="P415" s="491">
        <v>1.2779044499999999</v>
      </c>
      <c r="Q415" s="491">
        <v>1.2756497600000001</v>
      </c>
      <c r="R415" s="491">
        <v>1.2760969</v>
      </c>
      <c r="S415" s="491">
        <v>1.2816523999999998</v>
      </c>
      <c r="T415" s="491">
        <v>1.2779044499999999</v>
      </c>
      <c r="U415" s="491">
        <v>1.27564977</v>
      </c>
      <c r="V415" s="491">
        <v>1.2760969099999999</v>
      </c>
    </row>
    <row r="416" spans="2:22" outlineLevel="1">
      <c r="B416" s="555" t="s">
        <v>622</v>
      </c>
      <c r="C416" s="203">
        <f>IF('R6a - Net Debt input'!D199 = "","",'R6a - Net Debt input'!D199)</f>
        <v>44014</v>
      </c>
      <c r="D416" s="203">
        <f>IF('R6a - Net Debt input'!E199 = "","",'R6a - Net Debt input'!E199)</f>
        <v>48402</v>
      </c>
      <c r="E416" s="1400" t="str">
        <f>IF('R6a - Net Debt input'!F199 = "","",'R6a - Net Debt input'!F199)</f>
        <v>12 YR SWAP: PAY 1.55460% GBP 135.3 M RCV 0.82300% EUR 150.0 M MAT: 07-JUL-2032</v>
      </c>
      <c r="F416" s="1401"/>
      <c r="G416" s="1401"/>
      <c r="H416" s="1401"/>
      <c r="I416" s="1402"/>
      <c r="M416" s="491">
        <v>1</v>
      </c>
      <c r="N416" s="491">
        <v>1.06029123</v>
      </c>
      <c r="O416" s="491">
        <v>1.0678331200000002</v>
      </c>
      <c r="P416" s="491">
        <v>1.0647103999999998</v>
      </c>
      <c r="Q416" s="491">
        <v>1.0628314999999999</v>
      </c>
      <c r="R416" s="491">
        <v>1.0632041200000002</v>
      </c>
      <c r="S416" s="491">
        <v>1.0678331200000002</v>
      </c>
      <c r="T416" s="491">
        <v>1.06471041</v>
      </c>
      <c r="U416" s="491">
        <v>1.0628315100000001</v>
      </c>
      <c r="V416" s="491">
        <v>1.0632041200000002</v>
      </c>
    </row>
    <row r="417" spans="2:22" outlineLevel="1">
      <c r="B417" s="555" t="s">
        <v>623</v>
      </c>
      <c r="C417" s="203">
        <f>IF('R6a - Net Debt input'!D200 = "","",'R6a - Net Debt input'!D200)</f>
        <v>44014</v>
      </c>
      <c r="D417" s="203">
        <f>IF('R6a - Net Debt input'!E200 = "","",'R6a - Net Debt input'!E200)</f>
        <v>48402</v>
      </c>
      <c r="E417" s="1400" t="str">
        <f>IF('R6a - Net Debt input'!F200 = "","",'R6a - Net Debt input'!F200)</f>
        <v>12 YR SWAP: PAY 6M Libor +113 bp GBP 216.4 M RCV 0.82300% EUR 240.0 M MAT: 07-JUL-2032</v>
      </c>
      <c r="F417" s="1401"/>
      <c r="G417" s="1401"/>
      <c r="H417" s="1401"/>
      <c r="I417" s="1402"/>
      <c r="M417" s="491">
        <v>-0.4</v>
      </c>
      <c r="N417" s="491">
        <v>0</v>
      </c>
      <c r="O417" s="491">
        <v>0</v>
      </c>
      <c r="P417" s="491">
        <v>0</v>
      </c>
      <c r="Q417" s="491">
        <v>0</v>
      </c>
      <c r="R417" s="491">
        <v>0</v>
      </c>
      <c r="S417" s="491">
        <v>0</v>
      </c>
      <c r="T417" s="491">
        <v>0</v>
      </c>
      <c r="U417" s="491">
        <v>0</v>
      </c>
      <c r="V417" s="491">
        <v>0</v>
      </c>
    </row>
    <row r="418" spans="2:22" outlineLevel="1">
      <c r="B418" s="555" t="s">
        <v>624</v>
      </c>
      <c r="C418" s="203">
        <f>IF('R6a - Net Debt input'!D201 = "","",'R6a - Net Debt input'!D201)</f>
        <v>44154</v>
      </c>
      <c r="D418" s="203">
        <f>IF('R6a - Net Debt input'!E201 = "","",'R6a - Net Debt input'!E201)</f>
        <v>51466</v>
      </c>
      <c r="E418" s="1400" t="str">
        <f>IF('R6a - Net Debt input'!F201 = "","",'R6a - Net Debt input'!F201)</f>
        <v>20 YR SWAP: PAY 6M Libor +100 bp GBP 179.1 M RCV 0.87200% EUR 200.0 M MAT: 26-NOV-2040</v>
      </c>
      <c r="F418" s="1401"/>
      <c r="G418" s="1401"/>
      <c r="H418" s="1401"/>
      <c r="I418" s="1402"/>
      <c r="M418" s="491">
        <v>0.5</v>
      </c>
      <c r="N418" s="491">
        <v>0</v>
      </c>
      <c r="O418" s="491">
        <v>0</v>
      </c>
      <c r="P418" s="491">
        <v>0</v>
      </c>
      <c r="Q418" s="491">
        <v>0</v>
      </c>
      <c r="R418" s="491">
        <v>0</v>
      </c>
      <c r="S418" s="491">
        <v>0</v>
      </c>
      <c r="T418" s="491">
        <v>0</v>
      </c>
      <c r="U418" s="491">
        <v>0</v>
      </c>
      <c r="V418" s="491">
        <v>0</v>
      </c>
    </row>
    <row r="419" spans="2:22" outlineLevel="1">
      <c r="B419" s="555" t="s">
        <v>625</v>
      </c>
      <c r="C419" s="203">
        <f>IF('R6a - Net Debt input'!D202 = "","",'R6a - Net Debt input'!D202)</f>
        <v>44167</v>
      </c>
      <c r="D419" s="203">
        <f>IF('R6a - Net Debt input'!E202 = "","",'R6a - Net Debt input'!E202)</f>
        <v>51466</v>
      </c>
      <c r="E419" s="1400" t="str">
        <f>IF('R6a - Net Debt input'!F202 = "","",'R6a - Net Debt input'!F202)</f>
        <v>20.0 YR SWAP: PAY 1.65715% GBP 90.6 M RCV 0.87200% EUR 100.0 M MAT: 26-NOV-2040</v>
      </c>
      <c r="F419" s="1401"/>
      <c r="G419" s="1401"/>
      <c r="H419" s="1401"/>
      <c r="I419" s="1402"/>
      <c r="M419" s="491">
        <v>0.7</v>
      </c>
      <c r="N419" s="491">
        <v>0.76421391999999999</v>
      </c>
      <c r="O419" s="491">
        <v>0.76897609</v>
      </c>
      <c r="P419" s="491">
        <v>0.76789342000000005</v>
      </c>
      <c r="Q419" s="491">
        <v>0.76618318000000007</v>
      </c>
      <c r="R419" s="491">
        <v>0.76631341000000008</v>
      </c>
      <c r="S419" s="491">
        <v>0.76897609</v>
      </c>
      <c r="T419" s="491">
        <v>0.76789342000000005</v>
      </c>
      <c r="U419" s="491">
        <v>0.76618318000000007</v>
      </c>
      <c r="V419" s="491">
        <v>0.76631341000000008</v>
      </c>
    </row>
    <row r="420" spans="2:22" outlineLevel="1">
      <c r="B420" s="555" t="s">
        <v>626</v>
      </c>
      <c r="C420" s="203">
        <f>IF('R6a - Net Debt input'!D203 = "","",'R6a - Net Debt input'!D203)</f>
        <v>44167</v>
      </c>
      <c r="D420" s="203">
        <f>IF('R6a - Net Debt input'!E203 = "","",'R6a - Net Debt input'!E203)</f>
        <v>51466</v>
      </c>
      <c r="E420" s="1400" t="str">
        <f>IF('R6a - Net Debt input'!F203 = "","",'R6a - Net Debt input'!F203)</f>
        <v>20.0 YR SWAP: PAY 1.66445% GBP 90.6 M RCV 0.87200% EUR 100.0 M MAT: 26-NOV-2040</v>
      </c>
      <c r="F420" s="1401"/>
      <c r="G420" s="1401"/>
      <c r="H420" s="1401"/>
      <c r="I420" s="1402"/>
      <c r="M420" s="491">
        <v>0.7</v>
      </c>
      <c r="N420" s="491">
        <v>0.77064216000000008</v>
      </c>
      <c r="O420" s="491">
        <v>0.77543963999999999</v>
      </c>
      <c r="P420" s="491">
        <v>0.77433930000000006</v>
      </c>
      <c r="Q420" s="491">
        <v>0.77262907999999997</v>
      </c>
      <c r="R420" s="491">
        <v>0.77275931000000009</v>
      </c>
      <c r="S420" s="491">
        <v>0.77543963999999999</v>
      </c>
      <c r="T420" s="491">
        <v>0.77433930000000006</v>
      </c>
      <c r="U420" s="491">
        <v>0.77262907999999997</v>
      </c>
      <c r="V420" s="491">
        <v>0.77275930000000004</v>
      </c>
    </row>
    <row r="421" spans="2:22" outlineLevel="1">
      <c r="B421" s="555" t="s">
        <v>627</v>
      </c>
      <c r="C421" s="203">
        <f>IF('R6a - Net Debt input'!D204 = "","",'R6a - Net Debt input'!D204)</f>
        <v>44167</v>
      </c>
      <c r="D421" s="203">
        <f>IF('R6a - Net Debt input'!E204 = "","",'R6a - Net Debt input'!E204)</f>
        <v>51466</v>
      </c>
      <c r="E421" s="1400" t="str">
        <f>IF('R6a - Net Debt input'!F204 = "","",'R6a - Net Debt input'!F204)</f>
        <v>20.0 YR SWAP: PAY 1.66815% GBP 90.9 M RCV 0.87200% EUR 100.0 M MAT: 26-NOV-2040</v>
      </c>
      <c r="F421" s="1401"/>
      <c r="G421" s="1401"/>
      <c r="H421" s="1401"/>
      <c r="I421" s="1402"/>
      <c r="M421" s="491">
        <v>0.7</v>
      </c>
      <c r="N421" s="491">
        <v>0.77864208999999995</v>
      </c>
      <c r="O421" s="491">
        <v>0.78348353000000004</v>
      </c>
      <c r="P421" s="491">
        <v>0.78236120999999992</v>
      </c>
      <c r="Q421" s="491">
        <v>0.78065099000000004</v>
      </c>
      <c r="R421" s="491">
        <v>0.78078121999999994</v>
      </c>
      <c r="S421" s="491">
        <v>0.78348353000000004</v>
      </c>
      <c r="T421" s="491">
        <v>0.78236120999999992</v>
      </c>
      <c r="U421" s="491">
        <v>0.78065099000000004</v>
      </c>
      <c r="V421" s="491">
        <v>0.78078121</v>
      </c>
    </row>
    <row r="422" spans="2:22" outlineLevel="1">
      <c r="B422" s="555" t="s">
        <v>628</v>
      </c>
      <c r="C422" s="203">
        <f>IF('R6a - Net Debt input'!D205 = "","",'R6a - Net Debt input'!D205)</f>
        <v>44350</v>
      </c>
      <c r="D422" s="203">
        <f>IF('R6a - Net Debt input'!E205 = "","",'R6a - Net Debt input'!E205)</f>
        <v>49836</v>
      </c>
      <c r="E422" s="1400" t="str">
        <f>IF('R6a - Net Debt input'!F205 = "","",'R6a - Net Debt input'!F205)</f>
        <v>15 YR SWAP: PAY 2.09900% GBP 30.0 M RCV 3.35000% AUD 55.0 M MAT: 10-JUN-2036</v>
      </c>
      <c r="F422" s="1401"/>
      <c r="G422" s="1401"/>
      <c r="H422" s="1401"/>
      <c r="I422" s="1402"/>
      <c r="M422" s="491">
        <v>0.3</v>
      </c>
      <c r="N422" s="491">
        <v>-0.42302811000000001</v>
      </c>
      <c r="O422" s="491">
        <v>-0.41957911999999997</v>
      </c>
      <c r="P422" s="491">
        <v>-0.42130361</v>
      </c>
      <c r="Q422" s="491">
        <v>-0.42130361</v>
      </c>
      <c r="R422" s="491">
        <v>-0.42130361</v>
      </c>
      <c r="S422" s="491">
        <v>-0.41957911999999997</v>
      </c>
      <c r="T422" s="491">
        <v>-0.42130361</v>
      </c>
      <c r="U422" s="491">
        <v>-0.42130361</v>
      </c>
      <c r="V422" s="491">
        <v>-0.42130361</v>
      </c>
    </row>
    <row r="423" spans="2:22" outlineLevel="1">
      <c r="B423" s="555" t="s">
        <v>629</v>
      </c>
      <c r="C423" s="203">
        <f>IF('R6a - Net Debt input'!D206 = "","",'R6a - Net Debt input'!D206)</f>
        <v>44321</v>
      </c>
      <c r="D423" s="203">
        <f>IF('R6a - Net Debt input'!E206 = "","",'R6a - Net Debt input'!E206)</f>
        <v>48402</v>
      </c>
      <c r="E423" s="1400" t="str">
        <f>IF('R6a - Net Debt input'!F206 = "","",'R6a - Net Debt input'!F206)</f>
        <v>11 YR SWAP: PAY 1D SONIA +140 bp GBP 216.4 M RCV 0.82300% EUR 240.0 M MAT: 07-JUL-2032</v>
      </c>
      <c r="F423" s="1401"/>
      <c r="G423" s="1401"/>
      <c r="H423" s="1401"/>
      <c r="I423" s="1402"/>
      <c r="M423" s="491">
        <v>1.6</v>
      </c>
      <c r="N423" s="491">
        <v>4.55155289</v>
      </c>
      <c r="O423" s="491">
        <v>6.5485180400000003</v>
      </c>
      <c r="P423" s="491">
        <v>5.7545889400000005</v>
      </c>
      <c r="Q423" s="491">
        <v>5.1758389899999999</v>
      </c>
      <c r="R423" s="491">
        <v>4.8361428000000002</v>
      </c>
      <c r="S423" s="491">
        <v>4.53915019</v>
      </c>
      <c r="T423" s="491">
        <v>4.3253427599999998</v>
      </c>
      <c r="U423" s="491">
        <v>4.3405432499999996</v>
      </c>
      <c r="V423" s="491">
        <v>4.4105951299999999</v>
      </c>
    </row>
    <row r="424" spans="2:22" outlineLevel="1">
      <c r="B424" s="555" t="s">
        <v>630</v>
      </c>
      <c r="C424" s="203">
        <f>IF('R6a - Net Debt input'!D207 = "","",'R6a - Net Debt input'!D207)</f>
        <v>44357</v>
      </c>
      <c r="D424" s="203">
        <f>IF('R6a - Net Debt input'!E207 = "","",'R6a - Net Debt input'!E207)</f>
        <v>46790</v>
      </c>
      <c r="E424" s="1400" t="str">
        <f>IF('R6a - Net Debt input'!F207 = "","",'R6a - Net Debt input'!F207)</f>
        <v>6.5 YR SWAP: PAY 1D SONIA +114 bp GBP 24.6 M RCV 3.25000% HKD 300.0 M MAT: 07-FEB-2028</v>
      </c>
      <c r="F424" s="1401"/>
      <c r="G424" s="1401"/>
      <c r="H424" s="1401"/>
      <c r="I424" s="1402"/>
      <c r="M424" s="491">
        <v>-0.8</v>
      </c>
      <c r="N424" s="491">
        <v>-0.30251809999999996</v>
      </c>
      <c r="O424" s="491">
        <v>-7.210983E-2</v>
      </c>
      <c r="P424" s="491">
        <v>-0.16819135000000002</v>
      </c>
      <c r="Q424" s="491">
        <v>-0.23356225</v>
      </c>
      <c r="R424" s="491">
        <v>-0.27167128999999995</v>
      </c>
      <c r="S424" s="491">
        <v>-0.26115669000000002</v>
      </c>
      <c r="T424" s="491">
        <v>0</v>
      </c>
      <c r="U424" s="491">
        <v>0</v>
      </c>
      <c r="V424" s="491">
        <v>0</v>
      </c>
    </row>
    <row r="425" spans="2:22" outlineLevel="1">
      <c r="B425" s="555" t="s">
        <v>631</v>
      </c>
      <c r="C425" s="203">
        <f>IF('R6a - Net Debt input'!D208 = "","",'R6a - Net Debt input'!D208)</f>
        <v>44357</v>
      </c>
      <c r="D425" s="203">
        <f>IF('R6a - Net Debt input'!E208 = "","",'R6a - Net Debt input'!E208)</f>
        <v>49221</v>
      </c>
      <c r="E425" s="1400" t="str">
        <f>IF('R6a - Net Debt input'!F208 = "","",'R6a - Net Debt input'!F208)</f>
        <v>13.0 YR SWAP: PAY 1D SONIA +132 bp GBP 38.2 M RCV 2.71000% AUD 70.0 M MAT: 04-OCT-2034</v>
      </c>
      <c r="F425" s="1401"/>
      <c r="G425" s="1401"/>
      <c r="H425" s="1401"/>
      <c r="I425" s="1402"/>
      <c r="M425" s="491">
        <v>0</v>
      </c>
      <c r="N425" s="491">
        <v>2.431699E-2</v>
      </c>
      <c r="O425" s="491">
        <v>0.33680790999999999</v>
      </c>
      <c r="P425" s="491">
        <v>0.19275432000000001</v>
      </c>
      <c r="Q425" s="491">
        <v>9.0158860000000007E-2</v>
      </c>
      <c r="R425" s="491">
        <v>3.6597930000000001E-2</v>
      </c>
      <c r="S425" s="491">
        <v>-2.1187419999999998E-2</v>
      </c>
      <c r="T425" s="491">
        <v>-6.0466890000000002E-2</v>
      </c>
      <c r="U425" s="491">
        <v>-5.2112080000000005E-2</v>
      </c>
      <c r="V425" s="491">
        <v>-3.9788999999999998E-2</v>
      </c>
    </row>
    <row r="426" spans="2:22" outlineLevel="1">
      <c r="B426" s="555" t="s">
        <v>632</v>
      </c>
      <c r="C426" s="203">
        <f>IF('R6a - Net Debt input'!D209 = "","",'R6a - Net Debt input'!D209)</f>
        <v>44362</v>
      </c>
      <c r="D426" s="203">
        <f>IF('R6a - Net Debt input'!E209 = "","",'R6a - Net Debt input'!E209)</f>
        <v>47291</v>
      </c>
      <c r="E426" s="1400" t="str">
        <f>IF('R6a - Net Debt input'!F209 = "","",'R6a - Net Debt input'!F209)</f>
        <v>8 YR SWAP: PAY 1D SONIA +96 bp GBP 174.9 M RCV 2.30100% CAD 300.0 M MAT: 22-JUN-2029</v>
      </c>
      <c r="F426" s="1401"/>
      <c r="G426" s="1401"/>
      <c r="H426" s="1401"/>
      <c r="I426" s="1402"/>
      <c r="M426" s="491">
        <v>-1.1000000000000001</v>
      </c>
      <c r="N426" s="491">
        <v>9.0743149999999995E-2</v>
      </c>
      <c r="O426" s="491">
        <v>1.6219525700000001</v>
      </c>
      <c r="P426" s="491">
        <v>1.0153024499999999</v>
      </c>
      <c r="Q426" s="491">
        <v>0.54513906999999995</v>
      </c>
      <c r="R426" s="491">
        <v>0.27060588000000002</v>
      </c>
      <c r="S426" s="491">
        <v>2.4584999999999999E-2</v>
      </c>
      <c r="T426" s="491">
        <v>-0.13860175</v>
      </c>
      <c r="U426" s="491">
        <v>-3.8007760000000002E-2</v>
      </c>
      <c r="V426" s="491">
        <v>0</v>
      </c>
    </row>
    <row r="427" spans="2:22" outlineLevel="1">
      <c r="B427" s="555" t="s">
        <v>633</v>
      </c>
      <c r="C427" s="203">
        <f>IF('R6a - Net Debt input'!D210 = "","",'R6a - Net Debt input'!D210)</f>
        <v>44362</v>
      </c>
      <c r="D427" s="203">
        <f>IF('R6a - Net Debt input'!E210 = "","",'R6a - Net Debt input'!E210)</f>
        <v>47291</v>
      </c>
      <c r="E427" s="1400" t="str">
        <f>IF('R6a - Net Debt input'!F210 = "","",'R6a - Net Debt input'!F210)</f>
        <v>8 YR SWAP: PAY 1.59395% GBP 145.8 M RCV 2.30100% CAD 250.0 M MAT: 22-JUN-2029</v>
      </c>
      <c r="F427" s="1401"/>
      <c r="G427" s="1401"/>
      <c r="H427" s="1401"/>
      <c r="I427" s="1402"/>
      <c r="M427" s="491">
        <v>-0.5</v>
      </c>
      <c r="N427" s="491">
        <v>-1.1803058500000001</v>
      </c>
      <c r="O427" s="491">
        <v>-1.1816974499999999</v>
      </c>
      <c r="P427" s="491">
        <v>-1.1789653100000002</v>
      </c>
      <c r="Q427" s="491">
        <v>-1.1836949999999999</v>
      </c>
      <c r="R427" s="491">
        <v>-1.1835749199999999</v>
      </c>
      <c r="S427" s="491">
        <v>-1.1816974599999999</v>
      </c>
      <c r="T427" s="491">
        <v>-1.1789653200000001</v>
      </c>
      <c r="U427" s="491">
        <v>-0.27145299000000001</v>
      </c>
      <c r="V427" s="491">
        <v>0</v>
      </c>
    </row>
    <row r="428" spans="2:22" outlineLevel="1">
      <c r="B428" s="555" t="s">
        <v>634</v>
      </c>
      <c r="C428" s="203">
        <f>IF('R6a - Net Debt input'!D211 = "","",'R6a - Net Debt input'!D211)</f>
        <v>44362</v>
      </c>
      <c r="D428" s="203">
        <f>IF('R6a - Net Debt input'!E211 = "","",'R6a - Net Debt input'!E211)</f>
        <v>47291</v>
      </c>
      <c r="E428" s="1400" t="str">
        <f>IF('R6a - Net Debt input'!F211 = "","",'R6a - Net Debt input'!F211)</f>
        <v>8 YR SWAP: PAY 1.61045% GBP 175.1 M RCV 2.30100% CAD 300.0 M MAT: 22-JUN-2029</v>
      </c>
      <c r="F428" s="1401"/>
      <c r="G428" s="1401"/>
      <c r="H428" s="1401"/>
      <c r="I428" s="1402"/>
      <c r="M428" s="491">
        <v>-0.6</v>
      </c>
      <c r="N428" s="491">
        <v>-1.3857743500000002</v>
      </c>
      <c r="O428" s="491">
        <v>-1.38727618</v>
      </c>
      <c r="P428" s="491">
        <v>-1.3840816699999998</v>
      </c>
      <c r="Q428" s="491">
        <v>-1.3897573000000001</v>
      </c>
      <c r="R428" s="491">
        <v>-1.3896131899999999</v>
      </c>
      <c r="S428" s="491">
        <v>-1.38727618</v>
      </c>
      <c r="T428" s="491">
        <v>-1.3840816699999998</v>
      </c>
      <c r="U428" s="491">
        <v>-0.31876779</v>
      </c>
      <c r="V428" s="491">
        <v>0</v>
      </c>
    </row>
    <row r="429" spans="2:22" outlineLevel="1">
      <c r="B429" s="555" t="s">
        <v>635</v>
      </c>
      <c r="C429" s="203">
        <f>IF('R6a - Net Debt input'!D212 = "","",'R6a - Net Debt input'!D212)</f>
        <v>44392</v>
      </c>
      <c r="D429" s="203">
        <f>IF('R6a - Net Debt input'!E212 = "","",'R6a - Net Debt input'!E212)</f>
        <v>51186</v>
      </c>
      <c r="E429" s="1400" t="str">
        <f>IF('R6a - Net Debt input'!F212 = "","",'R6a - Net Debt input'!F212)</f>
        <v>18.5 YR SWAP: PAY 1D SONIA +130 bp GBP 83.3 M RCV 1.15100% EUR 100.0 M MAT: 20-FEB-2040</v>
      </c>
      <c r="F429" s="1401"/>
      <c r="G429" s="1401"/>
      <c r="H429" s="1401"/>
      <c r="I429" s="1402"/>
      <c r="M429" s="491">
        <v>-0.4</v>
      </c>
      <c r="N429" s="491">
        <v>1.34281502</v>
      </c>
      <c r="O429" s="491">
        <v>2.1356951899999999</v>
      </c>
      <c r="P429" s="491">
        <v>1.7993496100000002</v>
      </c>
      <c r="Q429" s="491">
        <v>1.5752708500000001</v>
      </c>
      <c r="R429" s="491">
        <v>1.4487397099999999</v>
      </c>
      <c r="S429" s="491">
        <v>1.3301004400000001</v>
      </c>
      <c r="T429" s="491">
        <v>1.2493889299999998</v>
      </c>
      <c r="U429" s="491">
        <v>1.2575701499999998</v>
      </c>
      <c r="V429" s="491">
        <v>1.28426759</v>
      </c>
    </row>
    <row r="430" spans="2:22" outlineLevel="1">
      <c r="B430" s="555" t="s">
        <v>636</v>
      </c>
      <c r="C430" s="203">
        <f>IF('R6a - Net Debt input'!D213 = "","",'R6a - Net Debt input'!D213)</f>
        <v>44392</v>
      </c>
      <c r="D430" s="203">
        <f>IF('R6a - Net Debt input'!E213 = "","",'R6a - Net Debt input'!E213)</f>
        <v>51466</v>
      </c>
      <c r="E430" s="1400" t="str">
        <f>IF('R6a - Net Debt input'!F213 = "","",'R6a - Net Debt input'!F213)</f>
        <v>19 YR SWAP: PAY 1D SONIA +127 bp GBP 179.1 M RCV 0.87200% EUR 200.0 M MAT: 26-NOV-2040</v>
      </c>
      <c r="F430" s="1401"/>
      <c r="G430" s="1401"/>
      <c r="H430" s="1401"/>
      <c r="I430" s="1402"/>
      <c r="M430" s="491">
        <v>0</v>
      </c>
      <c r="N430" s="491">
        <v>3.53556077</v>
      </c>
      <c r="O430" s="491">
        <v>5.0498283200000005</v>
      </c>
      <c r="P430" s="491">
        <v>4.4371440899999994</v>
      </c>
      <c r="Q430" s="491">
        <v>3.9586007300000001</v>
      </c>
      <c r="R430" s="491">
        <v>3.6815588799999999</v>
      </c>
      <c r="S430" s="491">
        <v>3.4312087200000003</v>
      </c>
      <c r="T430" s="491">
        <v>3.2546169200000001</v>
      </c>
      <c r="U430" s="491">
        <v>3.2710773199999998</v>
      </c>
      <c r="V430" s="491">
        <v>3.3287032799999996</v>
      </c>
    </row>
    <row r="431" spans="2:22" outlineLevel="1">
      <c r="B431" s="555" t="s">
        <v>637</v>
      </c>
      <c r="C431" s="203">
        <f>IF('R6a - Net Debt input'!D214 = "","",'R6a - Net Debt input'!D214)</f>
        <v>44393</v>
      </c>
      <c r="D431" s="203">
        <f>IF('R6a - Net Debt input'!E214 = "","",'R6a - Net Debt input'!E214)</f>
        <v>51466</v>
      </c>
      <c r="E431" s="1400" t="str">
        <f>IF('R6a - Net Debt input'!F214 = "","",'R6a - Net Debt input'!F214)</f>
        <v>19.3 YR SWAP: PAY 1D SONIA +99 bp GBP 34.2 M RCV 0.87200% EUR 40.0 M MAT: 26-NOV-2040</v>
      </c>
      <c r="F431" s="1401"/>
      <c r="G431" s="1401"/>
      <c r="H431" s="1401"/>
      <c r="I431" s="1402"/>
      <c r="M431" s="491">
        <v>-0.2</v>
      </c>
      <c r="N431" s="491">
        <v>0.56515103</v>
      </c>
      <c r="O431" s="491">
        <v>0.85361498000000002</v>
      </c>
      <c r="P431" s="491">
        <v>0.73698045999999995</v>
      </c>
      <c r="Q431" s="491">
        <v>0.64560072999999996</v>
      </c>
      <c r="R431" s="491">
        <v>0.59271892000000004</v>
      </c>
      <c r="S431" s="491">
        <v>0.54463864000000006</v>
      </c>
      <c r="T431" s="491">
        <v>0.51124928000000003</v>
      </c>
      <c r="U431" s="491">
        <v>0.51436020999999998</v>
      </c>
      <c r="V431" s="491">
        <v>0.52536273999999994</v>
      </c>
    </row>
    <row r="432" spans="2:22" outlineLevel="1">
      <c r="B432" s="555" t="s">
        <v>638</v>
      </c>
      <c r="C432" s="203">
        <f>IF('R6a - Net Debt input'!D215 = "","",'R6a - Net Debt input'!D215)</f>
        <v>44439</v>
      </c>
      <c r="D432" s="203">
        <f>IF('R6a - Net Debt input'!E215 = "","",'R6a - Net Debt input'!E215)</f>
        <v>48484</v>
      </c>
      <c r="E432" s="1400" t="str">
        <f>IF('R6a - Net Debt input'!F215 = "","",'R6a - Net Debt input'!F215)</f>
        <v>11 YR SWAP: PAY 1D SONIA +137 bp GBP 80.5 M RCV 3.35000% EUR 100.0 M MAT: 27-SEP-2032</v>
      </c>
      <c r="F432" s="1401"/>
      <c r="G432" s="1401"/>
      <c r="H432" s="1401"/>
      <c r="I432" s="1402"/>
      <c r="M432" s="491">
        <v>0.6</v>
      </c>
      <c r="N432" s="491">
        <v>-0.47149632000000002</v>
      </c>
      <c r="O432" s="491">
        <v>0.21771951</v>
      </c>
      <c r="P432" s="491">
        <v>-9.6386199999999991E-2</v>
      </c>
      <c r="Q432" s="491">
        <v>-0.31752261999999998</v>
      </c>
      <c r="R432" s="491">
        <v>-0.43069447</v>
      </c>
      <c r="S432" s="491">
        <v>-0.55114796999999993</v>
      </c>
      <c r="T432" s="491">
        <v>-0.62800465999999999</v>
      </c>
      <c r="U432" s="491">
        <v>-0.61808603000000006</v>
      </c>
      <c r="V432" s="491">
        <v>-0.5912781800000001</v>
      </c>
    </row>
    <row r="433" spans="2:24" outlineLevel="1">
      <c r="B433" s="555" t="s">
        <v>639</v>
      </c>
      <c r="C433" s="203">
        <f>IF('R6a - Net Debt input'!D216 = "","",'R6a - Net Debt input'!D216)</f>
        <v>44439</v>
      </c>
      <c r="D433" s="203">
        <f>IF('R6a - Net Debt input'!E216 = "","",'R6a - Net Debt input'!E216)</f>
        <v>49339</v>
      </c>
      <c r="E433" s="1400" t="str">
        <f>IF('R6a - Net Debt input'!F216 = "","",'R6a - Net Debt input'!F216)</f>
        <v>13 YR SWAP: PAY 1D SONIA +129 bp GBP 84.0 M RCV 3.21000% EUR 100.0 M MAT: 30-JAN-2035</v>
      </c>
      <c r="F433" s="1401"/>
      <c r="G433" s="1401"/>
      <c r="H433" s="1401"/>
      <c r="I433" s="1402"/>
      <c r="M433" s="491">
        <v>0</v>
      </c>
      <c r="N433" s="491">
        <v>-0.3828163</v>
      </c>
      <c r="O433" s="491">
        <v>0.40157271999999999</v>
      </c>
      <c r="P433" s="491">
        <v>8.4409850000000008E-2</v>
      </c>
      <c r="Q433" s="491">
        <v>-0.14498404999999998</v>
      </c>
      <c r="R433" s="491">
        <v>-0.27554616999999998</v>
      </c>
      <c r="S433" s="491">
        <v>-0.39737222999999999</v>
      </c>
      <c r="T433" s="491">
        <v>-0.47001315999999999</v>
      </c>
      <c r="U433" s="491">
        <v>-0.46782573999999999</v>
      </c>
      <c r="V433" s="491">
        <v>-0.44099094999999999</v>
      </c>
    </row>
    <row r="434" spans="2:24" outlineLevel="1">
      <c r="B434" s="555" t="s">
        <v>640</v>
      </c>
      <c r="C434" s="203">
        <f>IF('R6a - Net Debt input'!D217 = "","",'R6a - Net Debt input'!D217)</f>
        <v>44427</v>
      </c>
      <c r="D434" s="203">
        <f>IF('R6a - Net Debt input'!E217 = "","",'R6a - Net Debt input'!E217)</f>
        <v>46288</v>
      </c>
      <c r="E434" s="1400" t="str">
        <f>IF('R6a - Net Debt input'!F217 = "","",'R6a - Net Debt input'!F217)</f>
        <v>5 YR SWAP: PAY 1D SONIA +141 bp GBP 20.3 M RCV 3.30000% HKD 250.0 M MAT: 23-SEP-2026</v>
      </c>
      <c r="F434" s="1401"/>
      <c r="G434" s="1401"/>
      <c r="H434" s="1401"/>
      <c r="I434" s="1402"/>
      <c r="M434" s="491">
        <v>0.2</v>
      </c>
      <c r="N434" s="491">
        <v>-0.20199992999999999</v>
      </c>
      <c r="O434" s="491">
        <v>-2.4953490000000002E-2</v>
      </c>
      <c r="P434" s="491">
        <v>-0.10628826</v>
      </c>
      <c r="Q434" s="491">
        <v>-0.16031269000000001</v>
      </c>
      <c r="R434" s="491">
        <v>-9.0511190000000005E-2</v>
      </c>
      <c r="S434" s="491">
        <v>0</v>
      </c>
      <c r="T434" s="491">
        <v>0</v>
      </c>
      <c r="U434" s="491">
        <v>0</v>
      </c>
      <c r="V434" s="491">
        <v>0</v>
      </c>
    </row>
    <row r="435" spans="2:24" outlineLevel="1">
      <c r="B435" s="555" t="s">
        <v>641</v>
      </c>
      <c r="C435" s="203">
        <f>IF('R6a - Net Debt input'!D218 = "","",'R6a - Net Debt input'!D218)</f>
        <v>44427</v>
      </c>
      <c r="D435" s="203">
        <f>IF('R6a - Net Debt input'!E218 = "","",'R6a - Net Debt input'!E218)</f>
        <v>46734</v>
      </c>
      <c r="E435" s="1400" t="str">
        <f>IF('R6a - Net Debt input'!F218 = "","",'R6a - Net Debt input'!F218)</f>
        <v>6 YR SWAP: PAY 1D SONIA +124 bp GBP 24.0 M RCV 3.10000% HKD 300.0 M MAT: 13-DEC-2027</v>
      </c>
      <c r="F435" s="1401"/>
      <c r="G435" s="1401"/>
      <c r="H435" s="1401"/>
      <c r="I435" s="1402"/>
      <c r="M435" s="491">
        <v>0</v>
      </c>
      <c r="N435" s="491">
        <v>-0.24142514000000001</v>
      </c>
      <c r="O435" s="491">
        <v>-3.6292209999999998E-2</v>
      </c>
      <c r="P435" s="491">
        <v>-0.11806106</v>
      </c>
      <c r="Q435" s="491">
        <v>-0.18180551</v>
      </c>
      <c r="R435" s="491">
        <v>-0.21938501999999999</v>
      </c>
      <c r="S435" s="491">
        <v>-0.17568604999999998</v>
      </c>
      <c r="T435" s="491">
        <v>0</v>
      </c>
      <c r="U435" s="491">
        <v>0</v>
      </c>
      <c r="V435" s="491">
        <v>0</v>
      </c>
    </row>
    <row r="436" spans="2:24" outlineLevel="1">
      <c r="B436" s="555" t="s">
        <v>642</v>
      </c>
      <c r="C436" s="203">
        <f>IF('R6a - Net Debt input'!D219 = "","",'R6a - Net Debt input'!D219)</f>
        <v>44427</v>
      </c>
      <c r="D436" s="203">
        <f>IF('R6a - Net Debt input'!E219 = "","",'R6a - Net Debt input'!E219)</f>
        <v>45686</v>
      </c>
      <c r="E436" s="1400" t="str">
        <f>IF('R6a - Net Debt input'!F219 = "","",'R6a - Net Debt input'!F219)</f>
        <v>3.0 YR SWAP: PAY 1D SONIA +111 bp GBP 134.7 M RCV 4.35000% NOK 1190.0 M MAT: 29-JAN-2025</v>
      </c>
      <c r="F436" s="1401"/>
      <c r="G436" s="1401"/>
      <c r="H436" s="1401"/>
      <c r="I436" s="1402"/>
      <c r="M436" s="491">
        <v>0</v>
      </c>
      <c r="N436" s="491">
        <v>-1.00794271</v>
      </c>
      <c r="O436" s="491">
        <v>0.26705828999999998</v>
      </c>
      <c r="P436" s="491">
        <v>-0.15173482000000002</v>
      </c>
      <c r="Q436" s="491">
        <v>0</v>
      </c>
      <c r="R436" s="491">
        <v>0</v>
      </c>
      <c r="S436" s="491">
        <v>0</v>
      </c>
      <c r="T436" s="491">
        <v>0</v>
      </c>
      <c r="U436" s="491">
        <v>0</v>
      </c>
      <c r="V436" s="491">
        <v>0</v>
      </c>
    </row>
    <row r="437" spans="2:24" outlineLevel="1">
      <c r="B437" s="555" t="s">
        <v>643</v>
      </c>
      <c r="C437" s="203">
        <f>IF('R6a - Net Debt input'!D220 = "","",'R6a - Net Debt input'!D220)</f>
        <v>44462</v>
      </c>
      <c r="D437" s="203">
        <f>IF('R6a - Net Debt input'!E220 = "","",'R6a - Net Debt input'!E220)</f>
        <v>52870</v>
      </c>
      <c r="E437" s="1400" t="str">
        <f>IF('R6a - Net Debt input'!F220 = "","",'R6a - Net Debt input'!F220)</f>
        <v>23 YR SWAP: RCV 2.92000% AUD 125.0 M PAY 1D SONIA +99 bp GBP 66.6 M MAT: 30-SEP-2044</v>
      </c>
      <c r="F437" s="1401"/>
      <c r="G437" s="1401"/>
      <c r="H437" s="1401"/>
      <c r="I437" s="1402"/>
      <c r="M437" s="491">
        <v>-0.6</v>
      </c>
      <c r="N437" s="491">
        <v>-0.38244644999999999</v>
      </c>
      <c r="O437" s="491">
        <v>0.18325882999999998</v>
      </c>
      <c r="P437" s="491">
        <v>-8.0749050000000003E-2</v>
      </c>
      <c r="Q437" s="491">
        <v>-0.26103660000000001</v>
      </c>
      <c r="R437" s="491">
        <v>-0.35516143999999999</v>
      </c>
      <c r="S437" s="491">
        <v>-0.45022295000000001</v>
      </c>
      <c r="T437" s="491">
        <v>-0.52306740000000007</v>
      </c>
      <c r="U437" s="491">
        <v>-0.50450328</v>
      </c>
      <c r="V437" s="491">
        <v>-0.49158451000000003</v>
      </c>
    </row>
    <row r="438" spans="2:24" outlineLevel="1">
      <c r="B438" s="555" t="s">
        <v>644</v>
      </c>
      <c r="C438" s="203">
        <f>IF('R6a - Net Debt input'!D221 = "","",'R6a - Net Debt input'!D221)</f>
        <v>44635</v>
      </c>
      <c r="D438" s="203">
        <f>IF('R6a - Net Debt input'!E221 = "","",'R6a - Net Debt input'!E221)</f>
        <v>51466</v>
      </c>
      <c r="E438" s="1400" t="str">
        <f>IF('R6a - Net Debt input'!F221 = "","",'R6a - Net Debt input'!F221)</f>
        <v>19 YR SWAP: RCV 0.87200% EUR 100.0 M PAY 1.49440% GBP 84.4 M MAT: 26-NOV-2040</v>
      </c>
      <c r="F438" s="1401"/>
      <c r="G438" s="1401"/>
      <c r="H438" s="1401"/>
      <c r="I438" s="1402"/>
      <c r="M438" s="491">
        <v>0</v>
      </c>
      <c r="N438" s="491">
        <v>0.52435281</v>
      </c>
      <c r="O438" s="491">
        <v>0.52779706000000004</v>
      </c>
      <c r="P438" s="491">
        <v>0.52737333999999991</v>
      </c>
      <c r="Q438" s="491">
        <v>0.52566310999999999</v>
      </c>
      <c r="R438" s="491">
        <v>0.52579334</v>
      </c>
      <c r="S438" s="491">
        <v>0.52779706000000004</v>
      </c>
      <c r="T438" s="491">
        <v>0.52737333999999991</v>
      </c>
      <c r="U438" s="491">
        <v>0.52566310999999999</v>
      </c>
      <c r="V438" s="491">
        <v>0.52579334</v>
      </c>
    </row>
    <row r="439" spans="2:24" outlineLevel="1">
      <c r="B439" s="555" t="s">
        <v>645</v>
      </c>
      <c r="C439" s="203">
        <f>IF('R6a - Net Debt input'!D222 = "","",'R6a - Net Debt input'!D222)</f>
        <v>44403</v>
      </c>
      <c r="D439" s="203">
        <f>IF('R6a - Net Debt input'!E222 = "","",'R6a - Net Debt input'!E222)</f>
        <v>46288</v>
      </c>
      <c r="E439" s="1400" t="str">
        <f>IF('R6a - Net Debt input'!F222 = "","",'R6a - Net Debt input'!F222)</f>
        <v>5.5 YR SWAP: PAY 6M Libor +115 bp GBP 20.3 M RCV 3.30000% HKD 250.0 M MAT: 23-SEP-2026</v>
      </c>
      <c r="F439" s="1401"/>
      <c r="G439" s="1401"/>
      <c r="H439" s="1401"/>
      <c r="I439" s="1402"/>
      <c r="M439" s="491">
        <v>-0.6</v>
      </c>
      <c r="N439" s="491">
        <v>0</v>
      </c>
      <c r="O439" s="491">
        <v>0</v>
      </c>
      <c r="P439" s="491">
        <v>0</v>
      </c>
      <c r="Q439" s="491">
        <v>0</v>
      </c>
      <c r="R439" s="491">
        <v>0</v>
      </c>
      <c r="S439" s="491">
        <v>0</v>
      </c>
      <c r="T439" s="491">
        <v>0</v>
      </c>
      <c r="U439" s="491">
        <v>0</v>
      </c>
      <c r="V439" s="491">
        <v>0</v>
      </c>
    </row>
    <row r="440" spans="2:24" outlineLevel="1">
      <c r="B440" s="555" t="s">
        <v>646</v>
      </c>
      <c r="C440" s="203">
        <f>IF('R6a - Net Debt input'!D223 = "","",'R6a - Net Debt input'!D223)</f>
        <v>44403</v>
      </c>
      <c r="D440" s="203">
        <f>IF('R6a - Net Debt input'!E223 = "","",'R6a - Net Debt input'!E223)</f>
        <v>46734</v>
      </c>
      <c r="E440" s="1400" t="str">
        <f>IF('R6a - Net Debt input'!F223 = "","",'R6a - Net Debt input'!F223)</f>
        <v>6.5 YR SWAP: PAY 6M Libor +98 bp GBP 24.0 M RCV 3.10000% HKD 300.0 M MAT: 13-DEC-2027</v>
      </c>
      <c r="F440" s="1401"/>
      <c r="G440" s="1401"/>
      <c r="H440" s="1401"/>
      <c r="I440" s="1402"/>
      <c r="M440" s="491">
        <v>-0.8</v>
      </c>
      <c r="N440" s="491">
        <v>0</v>
      </c>
      <c r="O440" s="491">
        <v>0</v>
      </c>
      <c r="P440" s="491">
        <v>0</v>
      </c>
      <c r="Q440" s="491">
        <v>0</v>
      </c>
      <c r="R440" s="491">
        <v>0</v>
      </c>
      <c r="S440" s="491">
        <v>0</v>
      </c>
      <c r="T440" s="491">
        <v>0</v>
      </c>
      <c r="U440" s="491">
        <v>0</v>
      </c>
      <c r="V440" s="491">
        <v>0</v>
      </c>
    </row>
    <row r="441" spans="2:24" outlineLevel="1">
      <c r="B441" s="555" t="s">
        <v>647</v>
      </c>
      <c r="C441" s="203">
        <f>IF('R6a - Net Debt input'!D224 = "","",'R6a - Net Debt input'!D224)</f>
        <v>44403</v>
      </c>
      <c r="D441" s="203">
        <f>IF('R6a - Net Debt input'!E224 = "","",'R6a - Net Debt input'!E224)</f>
        <v>45686</v>
      </c>
      <c r="E441" s="1400" t="str">
        <f>IF('R6a - Net Debt input'!F224 = "","",'R6a - Net Debt input'!F224)</f>
        <v>4 YR SWAP: PAY 6M Libor +83 bp GBP 134.7 M RCV 4.35000% NOK 1190.0 M MAT: 29-JAN-2025</v>
      </c>
      <c r="F441" s="1401"/>
      <c r="G441" s="1401"/>
      <c r="H441" s="1401"/>
      <c r="I441" s="1402"/>
      <c r="M441" s="491">
        <v>-3.1</v>
      </c>
      <c r="N441" s="491">
        <v>0</v>
      </c>
      <c r="O441" s="491">
        <v>0</v>
      </c>
      <c r="P441" s="491">
        <v>0</v>
      </c>
      <c r="Q441" s="491">
        <v>0</v>
      </c>
      <c r="R441" s="491">
        <v>0</v>
      </c>
      <c r="S441" s="491">
        <v>0</v>
      </c>
      <c r="T441" s="491">
        <v>0</v>
      </c>
      <c r="U441" s="491">
        <v>0</v>
      </c>
      <c r="V441" s="491">
        <v>0</v>
      </c>
    </row>
    <row r="442" spans="2:24" outlineLevel="1">
      <c r="B442" s="321" t="s">
        <v>648</v>
      </c>
      <c r="C442" s="1403" t="s">
        <v>649</v>
      </c>
      <c r="D442" s="1404"/>
      <c r="E442" s="1404"/>
      <c r="F442" s="1404"/>
      <c r="G442" s="1404"/>
      <c r="H442" s="1404"/>
      <c r="I442" s="1405"/>
      <c r="M442" s="491">
        <v>0</v>
      </c>
      <c r="N442" s="491">
        <v>0</v>
      </c>
      <c r="O442" s="491">
        <v>0</v>
      </c>
      <c r="P442" s="491">
        <v>0</v>
      </c>
      <c r="Q442" s="491">
        <v>0</v>
      </c>
      <c r="R442" s="491">
        <v>0</v>
      </c>
      <c r="S442" s="491">
        <v>0</v>
      </c>
      <c r="T442" s="491">
        <v>0</v>
      </c>
      <c r="U442" s="491">
        <v>0</v>
      </c>
      <c r="V442" s="491">
        <v>0</v>
      </c>
    </row>
    <row r="443" spans="2:24">
      <c r="B443" s="169"/>
      <c r="E443" s="169"/>
      <c r="F443" s="169"/>
      <c r="G443" s="169"/>
      <c r="H443" s="169"/>
      <c r="L443" s="985" t="s">
        <v>650</v>
      </c>
      <c r="M443" s="487">
        <f t="shared" ref="M443:V443" si="40">SUM(M397:M442)</f>
        <v>-1.4000000000000006</v>
      </c>
      <c r="N443" s="488">
        <f t="shared" si="40"/>
        <v>13.990934769999999</v>
      </c>
      <c r="O443" s="488">
        <f t="shared" si="40"/>
        <v>24.449706539999998</v>
      </c>
      <c r="P443" s="488">
        <f t="shared" si="40"/>
        <v>19.28157908</v>
      </c>
      <c r="Q443" s="488">
        <f t="shared" si="40"/>
        <v>12.61238161</v>
      </c>
      <c r="R443" s="488">
        <f t="shared" si="40"/>
        <v>11.146531449999998</v>
      </c>
      <c r="S443" s="488">
        <f t="shared" si="40"/>
        <v>10.044985229999998</v>
      </c>
      <c r="T443" s="489">
        <f t="shared" si="40"/>
        <v>9.8175838300000002</v>
      </c>
      <c r="U443" s="490">
        <f t="shared" si="40"/>
        <v>11.951917899999998</v>
      </c>
      <c r="V443" s="488">
        <f t="shared" si="40"/>
        <v>12.932960380000001</v>
      </c>
    </row>
    <row r="444" spans="2:24">
      <c r="B444" s="169"/>
      <c r="E444" s="169"/>
      <c r="F444" s="169"/>
      <c r="G444" s="169"/>
      <c r="H444" s="169"/>
      <c r="X444" s="283"/>
    </row>
    <row r="445" spans="2:24" ht="14">
      <c r="B445" s="254" t="s">
        <v>651</v>
      </c>
      <c r="C445" s="255" t="s">
        <v>652</v>
      </c>
      <c r="D445" s="255"/>
      <c r="E445" s="255"/>
      <c r="F445" s="255"/>
      <c r="G445" s="256"/>
      <c r="H445" s="256"/>
      <c r="I445" s="256"/>
      <c r="J445" s="256"/>
      <c r="K445" s="256"/>
      <c r="L445" s="254"/>
      <c r="M445" s="255"/>
      <c r="N445" s="255"/>
      <c r="O445" s="255"/>
      <c r="P445" s="255"/>
      <c r="Q445" s="255"/>
      <c r="R445" s="255"/>
      <c r="S445" s="255"/>
      <c r="T445" s="255"/>
      <c r="U445" s="288"/>
      <c r="V445" s="255"/>
    </row>
    <row r="446" spans="2:24" outlineLevel="1">
      <c r="B446" s="169"/>
      <c r="I446" s="1407"/>
      <c r="J446" s="1407"/>
      <c r="K446" s="1407"/>
      <c r="L446" s="1407"/>
      <c r="M446" s="1407"/>
      <c r="N446" s="1407"/>
      <c r="O446" s="1407"/>
      <c r="P446" s="1407"/>
      <c r="Q446" s="1408"/>
      <c r="R446" s="722"/>
      <c r="X446" s="283"/>
    </row>
    <row r="447" spans="2:24" ht="17.5" outlineLevel="1">
      <c r="B447" s="153"/>
      <c r="C447" s="150"/>
      <c r="D447" s="265" t="s">
        <v>467</v>
      </c>
      <c r="E447" s="267"/>
      <c r="F447" s="267"/>
      <c r="G447" s="266"/>
      <c r="H447" s="266"/>
      <c r="I447" s="266"/>
      <c r="J447" s="266"/>
      <c r="K447" s="266"/>
      <c r="L447" s="304"/>
      <c r="M447" s="267"/>
      <c r="N447" s="267"/>
      <c r="O447" s="267"/>
      <c r="P447" s="267"/>
      <c r="Q447" s="267"/>
      <c r="R447" s="267"/>
      <c r="S447" s="267"/>
      <c r="T447" s="267"/>
      <c r="U447" s="290"/>
      <c r="V447" s="267"/>
    </row>
    <row r="448" spans="2:24" outlineLevel="1">
      <c r="B448" s="169"/>
      <c r="I448" s="166"/>
      <c r="J448" s="166"/>
      <c r="K448" s="166"/>
      <c r="L448" s="166"/>
      <c r="M448" s="166"/>
      <c r="N448" s="166"/>
      <c r="O448" s="166"/>
      <c r="P448" s="166"/>
      <c r="Q448" s="722"/>
      <c r="R448" s="722"/>
    </row>
    <row r="449" spans="2:22" ht="32.25" customHeight="1" outlineLevel="1">
      <c r="B449" s="779"/>
      <c r="C449" s="777" t="s">
        <v>599</v>
      </c>
      <c r="D449" s="778" t="s">
        <v>600</v>
      </c>
      <c r="E449" s="1391" t="s">
        <v>601</v>
      </c>
      <c r="F449" s="1392" t="s">
        <v>653</v>
      </c>
      <c r="G449" s="1392" t="s">
        <v>654</v>
      </c>
      <c r="H449" s="1392" t="s">
        <v>655</v>
      </c>
      <c r="I449" s="1393" t="s">
        <v>656</v>
      </c>
      <c r="L449" s="722"/>
      <c r="U449" s="283"/>
    </row>
    <row r="450" spans="2:22" s="532" customFormat="1" ht="53.25" customHeight="1" outlineLevel="1">
      <c r="B450" s="526" t="s">
        <v>468</v>
      </c>
      <c r="C450" s="517" t="s">
        <v>602</v>
      </c>
      <c r="D450" s="984" t="s">
        <v>602</v>
      </c>
      <c r="E450" s="1406"/>
      <c r="F450" s="1395" t="s">
        <v>137</v>
      </c>
      <c r="G450" s="1395" t="s">
        <v>137</v>
      </c>
      <c r="H450" s="1395" t="s">
        <v>469</v>
      </c>
      <c r="I450" s="1396" t="s">
        <v>657</v>
      </c>
      <c r="J450" s="151"/>
      <c r="K450" s="151"/>
      <c r="L450" s="527"/>
      <c r="M450" s="528" t="s">
        <v>469</v>
      </c>
      <c r="N450" s="529" t="s">
        <v>469</v>
      </c>
      <c r="O450" s="529" t="s">
        <v>469</v>
      </c>
      <c r="P450" s="529" t="s">
        <v>469</v>
      </c>
      <c r="Q450" s="529" t="s">
        <v>469</v>
      </c>
      <c r="R450" s="529" t="s">
        <v>469</v>
      </c>
      <c r="S450" s="529" t="s">
        <v>469</v>
      </c>
      <c r="T450" s="530" t="s">
        <v>469</v>
      </c>
      <c r="U450" s="531" t="s">
        <v>469</v>
      </c>
      <c r="V450" s="529" t="s">
        <v>469</v>
      </c>
    </row>
    <row r="451" spans="2:22" outlineLevel="1">
      <c r="B451" s="324" t="s">
        <v>658</v>
      </c>
      <c r="C451" s="554">
        <f>IF('R6a - Net Debt input'!D248 = "","",'R6a - Net Debt input'!D248)</f>
        <v>41171</v>
      </c>
      <c r="D451" s="569">
        <f>IF('R6a - Net Debt input'!E248 = "","",'R6a - Net Debt input'!E248)</f>
        <v>48484</v>
      </c>
      <c r="E451" s="567" t="str">
        <f>IF('R6a - Net Debt input'!F248 = "","",'R6a - Net Debt input'!F248)</f>
        <v>20 YR SWAP: PAY 3.87750% GBP RCV 6M Libor +110 bp GBP 45.5 M MAT: 27-SEP-2032</v>
      </c>
      <c r="F451" s="567"/>
      <c r="G451" s="567"/>
      <c r="H451" s="567"/>
      <c r="I451" s="568"/>
      <c r="L451" s="722"/>
      <c r="M451" s="496">
        <v>0.6</v>
      </c>
      <c r="N451" s="496">
        <v>0</v>
      </c>
      <c r="O451" s="496">
        <v>0</v>
      </c>
      <c r="P451" s="496">
        <v>0</v>
      </c>
      <c r="Q451" s="496">
        <v>0</v>
      </c>
      <c r="R451" s="496">
        <v>0</v>
      </c>
      <c r="S451" s="496">
        <v>0</v>
      </c>
      <c r="T451" s="496">
        <v>0</v>
      </c>
      <c r="U451" s="496">
        <v>0</v>
      </c>
      <c r="V451" s="496">
        <v>0</v>
      </c>
    </row>
    <row r="452" spans="2:22" outlineLevel="1">
      <c r="B452" s="324" t="s">
        <v>659</v>
      </c>
      <c r="C452" s="554">
        <f>IF('R6a - Net Debt input'!D249 = "","",'R6a - Net Debt input'!D249)</f>
        <v>38566</v>
      </c>
      <c r="D452" s="569">
        <f>IF('R6a - Net Debt input'!E249 = "","",'R6a - Net Debt input'!E249)</f>
        <v>45324</v>
      </c>
      <c r="E452" s="567" t="str">
        <f>IF('R6a - Net Debt input'!F249 = "","",'R6a - Net Debt input'!F249)</f>
        <v>18.5 YR SWAP: PAY 6M Libor +117 bp GBP RCV 5.87500% GBP 20.0 M MAT: 02-FEB-2024</v>
      </c>
      <c r="F452" s="567"/>
      <c r="G452" s="567"/>
      <c r="H452" s="567"/>
      <c r="I452" s="568"/>
      <c r="L452" s="722"/>
      <c r="M452" s="496">
        <v>0.3</v>
      </c>
      <c r="N452" s="496">
        <v>0</v>
      </c>
      <c r="O452" s="496">
        <v>0</v>
      </c>
      <c r="P452" s="496">
        <v>0</v>
      </c>
      <c r="Q452" s="496">
        <v>0</v>
      </c>
      <c r="R452" s="496">
        <v>0</v>
      </c>
      <c r="S452" s="496">
        <v>0</v>
      </c>
      <c r="T452" s="496">
        <v>0</v>
      </c>
      <c r="U452" s="496">
        <v>0</v>
      </c>
      <c r="V452" s="496">
        <v>0</v>
      </c>
    </row>
    <row r="453" spans="2:22" outlineLevel="1">
      <c r="B453" s="324" t="s">
        <v>660</v>
      </c>
      <c r="C453" s="554">
        <f>IF('R6a - Net Debt input'!D250 = "","",'R6a - Net Debt input'!D250)</f>
        <v>40309</v>
      </c>
      <c r="D453" s="569">
        <f>IF('R6a - Net Debt input'!E250 = "","",'R6a - Net Debt input'!E250)</f>
        <v>45324</v>
      </c>
      <c r="E453" s="567" t="str">
        <f>IF('R6a - Net Debt input'!F250 = "","",'R6a - Net Debt input'!F250)</f>
        <v>13.7 YR SWAP: PAY 6M Libor +172 bp GBP RCV 5.87500% GBP 75.0 M MAT: 02-FEB-2024</v>
      </c>
      <c r="F453" s="567"/>
      <c r="G453" s="567"/>
      <c r="H453" s="567"/>
      <c r="I453" s="568"/>
      <c r="L453" s="722"/>
      <c r="M453" s="496">
        <v>1.2</v>
      </c>
      <c r="N453" s="496">
        <v>0</v>
      </c>
      <c r="O453" s="496">
        <v>0</v>
      </c>
      <c r="P453" s="496">
        <v>0</v>
      </c>
      <c r="Q453" s="496">
        <v>0</v>
      </c>
      <c r="R453" s="496">
        <v>0</v>
      </c>
      <c r="S453" s="496">
        <v>0</v>
      </c>
      <c r="T453" s="496">
        <v>0</v>
      </c>
      <c r="U453" s="496">
        <v>0</v>
      </c>
      <c r="V453" s="496">
        <v>0</v>
      </c>
    </row>
    <row r="454" spans="2:22" outlineLevel="1">
      <c r="B454" s="324" t="s">
        <v>661</v>
      </c>
      <c r="C454" s="554">
        <f>IF('R6a - Net Debt input'!D251 = "","",'R6a - Net Debt input'!D251)</f>
        <v>40401</v>
      </c>
      <c r="D454" s="569">
        <f>IF('R6a - Net Debt input'!E251 = "","",'R6a - Net Debt input'!E251)</f>
        <v>45324</v>
      </c>
      <c r="E454" s="567" t="str">
        <f>IF('R6a - Net Debt input'!F251 = "","",'R6a - Net Debt input'!F251)</f>
        <v>11.5 YR SWAP: PAY 5.87500% GBP RCV 6M Libor +176 bp GBP 149.5 M MAT: 02-FEB-2024</v>
      </c>
      <c r="F454" s="567"/>
      <c r="G454" s="567"/>
      <c r="H454" s="567"/>
      <c r="I454" s="568"/>
      <c r="L454" s="722"/>
      <c r="M454" s="496">
        <v>-0.6</v>
      </c>
      <c r="N454" s="496">
        <v>0</v>
      </c>
      <c r="O454" s="496">
        <v>0</v>
      </c>
      <c r="P454" s="496">
        <v>0</v>
      </c>
      <c r="Q454" s="496">
        <v>0</v>
      </c>
      <c r="R454" s="496">
        <v>0</v>
      </c>
      <c r="S454" s="496">
        <v>0</v>
      </c>
      <c r="T454" s="496">
        <v>0</v>
      </c>
      <c r="U454" s="496">
        <v>0</v>
      </c>
      <c r="V454" s="496">
        <v>0</v>
      </c>
    </row>
    <row r="455" spans="2:22" outlineLevel="1">
      <c r="B455" s="324" t="s">
        <v>662</v>
      </c>
      <c r="C455" s="554">
        <f>IF('R6a - Net Debt input'!D252 = "","",'R6a - Net Debt input'!D252)</f>
        <v>40504</v>
      </c>
      <c r="D455" s="569">
        <f>IF('R6a - Net Debt input'!E252 = "","",'R6a - Net Debt input'!E252)</f>
        <v>45324</v>
      </c>
      <c r="E455" s="567" t="str">
        <f>IF('R6a - Net Debt input'!F252 = "","",'R6a - Net Debt input'!F252)</f>
        <v>13.2 YR SWAP: PAY 6M Libor +244 bp GBP RCV 5.87500% GBP 28.0 M MAT: 02-FEB-2024</v>
      </c>
      <c r="F455" s="567"/>
      <c r="G455" s="567"/>
      <c r="H455" s="567"/>
      <c r="I455" s="568"/>
      <c r="L455" s="722"/>
      <c r="M455" s="496">
        <v>0.5</v>
      </c>
      <c r="N455" s="496">
        <v>0</v>
      </c>
      <c r="O455" s="496">
        <v>0</v>
      </c>
      <c r="P455" s="496">
        <v>0</v>
      </c>
      <c r="Q455" s="496">
        <v>0</v>
      </c>
      <c r="R455" s="496">
        <v>0</v>
      </c>
      <c r="S455" s="496">
        <v>0</v>
      </c>
      <c r="T455" s="496">
        <v>0</v>
      </c>
      <c r="U455" s="496">
        <v>0</v>
      </c>
      <c r="V455" s="496">
        <v>0</v>
      </c>
    </row>
    <row r="456" spans="2:22" outlineLevel="1">
      <c r="B456" s="324" t="s">
        <v>663</v>
      </c>
      <c r="C456" s="554">
        <f>IF('R6a - Net Debt input'!D253 = "","",'R6a - Net Debt input'!D253)</f>
        <v>37747</v>
      </c>
      <c r="D456" s="569">
        <f>IF('R6a - Net Debt input'!E253 = "","",'R6a - Net Debt input'!E253)</f>
        <v>46961</v>
      </c>
      <c r="E456" s="567" t="str">
        <f>IF('R6a - Net Debt input'!F253 = "","",'R6a - Net Debt input'!F253)</f>
        <v>25.2 YR SWAP: PAY 6M Libor +157 bp GBP RCV 6.50000% GBP 15.0 M MAT: 27-JUL-2028</v>
      </c>
      <c r="F456" s="567"/>
      <c r="G456" s="567"/>
      <c r="H456" s="567"/>
      <c r="I456" s="568"/>
      <c r="L456" s="722"/>
      <c r="M456" s="496">
        <v>-0.2</v>
      </c>
      <c r="N456" s="496">
        <v>0</v>
      </c>
      <c r="O456" s="496">
        <v>0</v>
      </c>
      <c r="P456" s="496">
        <v>0</v>
      </c>
      <c r="Q456" s="496">
        <v>0</v>
      </c>
      <c r="R456" s="496">
        <v>0</v>
      </c>
      <c r="S456" s="496">
        <v>0</v>
      </c>
      <c r="T456" s="496">
        <v>0</v>
      </c>
      <c r="U456" s="496">
        <v>0</v>
      </c>
      <c r="V456" s="496">
        <v>0</v>
      </c>
    </row>
    <row r="457" spans="2:22" outlineLevel="1">
      <c r="B457" s="324" t="s">
        <v>664</v>
      </c>
      <c r="C457" s="554">
        <f>IF('R6a - Net Debt input'!D254 = "","",'R6a - Net Debt input'!D254)</f>
        <v>38622</v>
      </c>
      <c r="D457" s="569">
        <f>IF('R6a - Net Debt input'!E254 = "","",'R6a - Net Debt input'!E254)</f>
        <v>46961</v>
      </c>
      <c r="E457" s="567" t="str">
        <f>IF('R6a - Net Debt input'!F254 = "","",'R6a - Net Debt input'!F254)</f>
        <v>22.8 YR SWAP: PAY 6M Libor +190 bp GBP RCV 6.50000% GBP 14.0 M MAT: 27-JUL-2028</v>
      </c>
      <c r="F457" s="567"/>
      <c r="G457" s="567"/>
      <c r="H457" s="567"/>
      <c r="I457" s="568"/>
      <c r="L457" s="722"/>
      <c r="M457" s="496">
        <v>-0.2</v>
      </c>
      <c r="N457" s="496">
        <v>0</v>
      </c>
      <c r="O457" s="496">
        <v>0</v>
      </c>
      <c r="P457" s="496">
        <v>0</v>
      </c>
      <c r="Q457" s="496">
        <v>0</v>
      </c>
      <c r="R457" s="496">
        <v>0</v>
      </c>
      <c r="S457" s="496">
        <v>0</v>
      </c>
      <c r="T457" s="496">
        <v>0</v>
      </c>
      <c r="U457" s="496">
        <v>0</v>
      </c>
      <c r="V457" s="496">
        <v>0</v>
      </c>
    </row>
    <row r="458" spans="2:22" outlineLevel="1">
      <c r="B458" s="324" t="s">
        <v>665</v>
      </c>
      <c r="C458" s="554">
        <f>IF('R6a - Net Debt input'!D255 = "","",'R6a - Net Debt input'!D255)</f>
        <v>40309</v>
      </c>
      <c r="D458" s="569">
        <f>IF('R6a - Net Debt input'!E255 = "","",'R6a - Net Debt input'!E255)</f>
        <v>46961</v>
      </c>
      <c r="E458" s="567" t="str">
        <f>IF('R6a - Net Debt input'!F255 = "","",'R6a - Net Debt input'!F255)</f>
        <v>18.2 YR SWAP: PAY 6M Libor +226 bp GBP RCV 6.50000% GBP 65.0 M MAT: 27-JUL-2028</v>
      </c>
      <c r="F458" s="567"/>
      <c r="G458" s="567"/>
      <c r="H458" s="567"/>
      <c r="I458" s="568"/>
      <c r="L458" s="722"/>
      <c r="M458" s="496">
        <v>-0.9</v>
      </c>
      <c r="N458" s="496">
        <v>0</v>
      </c>
      <c r="O458" s="496">
        <v>0</v>
      </c>
      <c r="P458" s="496">
        <v>0</v>
      </c>
      <c r="Q458" s="496">
        <v>0</v>
      </c>
      <c r="R458" s="496">
        <v>0</v>
      </c>
      <c r="S458" s="496">
        <v>0</v>
      </c>
      <c r="T458" s="496">
        <v>0</v>
      </c>
      <c r="U458" s="496">
        <v>0</v>
      </c>
      <c r="V458" s="496">
        <v>0</v>
      </c>
    </row>
    <row r="459" spans="2:22" outlineLevel="1">
      <c r="B459" s="324" t="s">
        <v>666</v>
      </c>
      <c r="C459" s="554">
        <f>IF('R6a - Net Debt input'!D256 = "","",'R6a - Net Debt input'!D256)</f>
        <v>40309</v>
      </c>
      <c r="D459" s="569">
        <f>IF('R6a - Net Debt input'!E256 = "","",'R6a - Net Debt input'!E256)</f>
        <v>46961</v>
      </c>
      <c r="E459" s="567" t="str">
        <f>IF('R6a - Net Debt input'!F256 = "","",'R6a - Net Debt input'!F256)</f>
        <v>18.2 YR SWAP: PAY 6M Libor +228 bp GBP RCV 6.50000% GBP 60.0 M MAT: 27-JUL-2028</v>
      </c>
      <c r="F459" s="567"/>
      <c r="G459" s="567"/>
      <c r="H459" s="567"/>
      <c r="I459" s="568"/>
      <c r="L459" s="722"/>
      <c r="M459" s="496">
        <v>-0.5</v>
      </c>
      <c r="N459" s="496">
        <v>0</v>
      </c>
      <c r="O459" s="496">
        <v>0</v>
      </c>
      <c r="P459" s="496">
        <v>0</v>
      </c>
      <c r="Q459" s="496">
        <v>0</v>
      </c>
      <c r="R459" s="496">
        <v>0</v>
      </c>
      <c r="S459" s="496">
        <v>0</v>
      </c>
      <c r="T459" s="496">
        <v>0</v>
      </c>
      <c r="U459" s="496">
        <v>0</v>
      </c>
      <c r="V459" s="496">
        <v>0</v>
      </c>
    </row>
    <row r="460" spans="2:22" outlineLevel="1">
      <c r="B460" s="324" t="s">
        <v>667</v>
      </c>
      <c r="C460" s="554">
        <f>IF('R6a - Net Debt input'!D257 = "","",'R6a - Net Debt input'!D257)</f>
        <v>40401</v>
      </c>
      <c r="D460" s="569">
        <f>IF('R6a - Net Debt input'!E257 = "","",'R6a - Net Debt input'!E257)</f>
        <v>46961</v>
      </c>
      <c r="E460" s="567" t="str">
        <f>IF('R6a - Net Debt input'!F257 = "","",'R6a - Net Debt input'!F257)</f>
        <v>16 YR SWAP: PAY 6.50000% GBP RCV 6M Libor +226 bp GBP 125.0 M MAT: 27-JUL-2028</v>
      </c>
      <c r="F460" s="567"/>
      <c r="G460" s="567"/>
      <c r="H460" s="567"/>
      <c r="I460" s="568"/>
      <c r="L460" s="722"/>
      <c r="M460" s="496">
        <v>1.2</v>
      </c>
      <c r="N460" s="496">
        <v>0</v>
      </c>
      <c r="O460" s="496">
        <v>0</v>
      </c>
      <c r="P460" s="496">
        <v>0</v>
      </c>
      <c r="Q460" s="496">
        <v>0</v>
      </c>
      <c r="R460" s="496">
        <v>0</v>
      </c>
      <c r="S460" s="496">
        <v>0</v>
      </c>
      <c r="T460" s="496">
        <v>0</v>
      </c>
      <c r="U460" s="496">
        <v>0</v>
      </c>
      <c r="V460" s="496">
        <v>0</v>
      </c>
    </row>
    <row r="461" spans="2:22" outlineLevel="1">
      <c r="B461" s="324" t="s">
        <v>668</v>
      </c>
      <c r="C461" s="554">
        <f>IF('R6a - Net Debt input'!D258 = "","",'R6a - Net Debt input'!D258)</f>
        <v>38401</v>
      </c>
      <c r="D461" s="569">
        <f>IF('R6a - Net Debt input'!E258 = "","",'R6a - Net Debt input'!E258)</f>
        <v>49369</v>
      </c>
      <c r="E461" s="567" t="str">
        <f>IF('R6a - Net Debt input'!F258 = "","",'R6a - Net Debt input'!F258)</f>
        <v>30 YR SWAP: PAY 6M Libor +23 bp GBP RCV 5.00000% GBP 40.0 M MAT: 01-MAR-2035</v>
      </c>
      <c r="F461" s="567"/>
      <c r="G461" s="567"/>
      <c r="H461" s="567"/>
      <c r="I461" s="568"/>
      <c r="L461" s="722"/>
      <c r="M461" s="496">
        <v>0.2</v>
      </c>
      <c r="N461" s="496">
        <v>0</v>
      </c>
      <c r="O461" s="496">
        <v>0</v>
      </c>
      <c r="P461" s="496">
        <v>0</v>
      </c>
      <c r="Q461" s="496">
        <v>0</v>
      </c>
      <c r="R461" s="496">
        <v>0</v>
      </c>
      <c r="S461" s="496">
        <v>0</v>
      </c>
      <c r="T461" s="496">
        <v>0</v>
      </c>
      <c r="U461" s="496">
        <v>0</v>
      </c>
      <c r="V461" s="496">
        <v>0</v>
      </c>
    </row>
    <row r="462" spans="2:22" outlineLevel="1">
      <c r="B462" s="324" t="s">
        <v>669</v>
      </c>
      <c r="C462" s="554">
        <f>IF('R6a - Net Debt input'!D259 = "","",'R6a - Net Debt input'!D259)</f>
        <v>40311</v>
      </c>
      <c r="D462" s="569">
        <f>IF('R6a - Net Debt input'!E259 = "","",'R6a - Net Debt input'!E259)</f>
        <v>49369</v>
      </c>
      <c r="E462" s="567" t="str">
        <f>IF('R6a - Net Debt input'!F259 = "","",'R6a - Net Debt input'!F259)</f>
        <v>24.8 YR SWAP: PAY 6M Libor +87 bp GBP RCV 5.00000% GBP 20.0 M MAT: 01-MAR-2035</v>
      </c>
      <c r="F462" s="567"/>
      <c r="G462" s="567"/>
      <c r="H462" s="567"/>
      <c r="I462" s="568"/>
      <c r="L462" s="722"/>
      <c r="M462" s="496">
        <v>0.2</v>
      </c>
      <c r="N462" s="496">
        <v>0</v>
      </c>
      <c r="O462" s="496">
        <v>0</v>
      </c>
      <c r="P462" s="496">
        <v>0</v>
      </c>
      <c r="Q462" s="496">
        <v>0</v>
      </c>
      <c r="R462" s="496">
        <v>0</v>
      </c>
      <c r="S462" s="496">
        <v>0</v>
      </c>
      <c r="T462" s="496">
        <v>0</v>
      </c>
      <c r="U462" s="496">
        <v>0</v>
      </c>
      <c r="V462" s="496">
        <v>0</v>
      </c>
    </row>
    <row r="463" spans="2:22" outlineLevel="1">
      <c r="B463" s="324" t="s">
        <v>670</v>
      </c>
      <c r="C463" s="554">
        <f>IF('R6a - Net Debt input'!D260 = "","",'R6a - Net Debt input'!D260)</f>
        <v>40676</v>
      </c>
      <c r="D463" s="569">
        <f>IF('R6a - Net Debt input'!E260 = "","",'R6a - Net Debt input'!E260)</f>
        <v>49369</v>
      </c>
      <c r="E463" s="567" t="str">
        <f>IF('R6a - Net Debt input'!F260 = "","",'R6a - Net Debt input'!F260)</f>
        <v>23.8 YR SWAP: PAY 5.00000% GBP RCV 6M Libor +94 bp GBP 40.0 M MAT: 01-MAR-2035</v>
      </c>
      <c r="F463" s="567"/>
      <c r="G463" s="567"/>
      <c r="H463" s="567"/>
      <c r="I463" s="568"/>
      <c r="L463" s="722"/>
      <c r="M463" s="496">
        <v>-0.3</v>
      </c>
      <c r="N463" s="496">
        <v>0</v>
      </c>
      <c r="O463" s="496">
        <v>0</v>
      </c>
      <c r="P463" s="496">
        <v>0</v>
      </c>
      <c r="Q463" s="496">
        <v>0</v>
      </c>
      <c r="R463" s="496">
        <v>0</v>
      </c>
      <c r="S463" s="496">
        <v>0</v>
      </c>
      <c r="T463" s="496">
        <v>0</v>
      </c>
      <c r="U463" s="496">
        <v>0</v>
      </c>
      <c r="V463" s="496">
        <v>0</v>
      </c>
    </row>
    <row r="464" spans="2:22" outlineLevel="1">
      <c r="B464" s="324" t="s">
        <v>671</v>
      </c>
      <c r="C464" s="554">
        <f>IF('R6a - Net Debt input'!D261 = "","",'R6a - Net Debt input'!D261)</f>
        <v>39832</v>
      </c>
      <c r="D464" s="569">
        <f>IF('R6a - Net Debt input'!E261 = "","",'R6a - Net Debt input'!E261)</f>
        <v>47861</v>
      </c>
      <c r="E464" s="567" t="str">
        <f>IF('R6a - Net Debt input'!F261 = "","",'R6a - Net Debt input'!F261)</f>
        <v>22.0 YR SWAP: PAY 6M Libor +337 bp GBP RCV 7.37500% GBP 40.0 M MAT: 13-JAN-2031</v>
      </c>
      <c r="F464" s="567"/>
      <c r="G464" s="567"/>
      <c r="H464" s="567"/>
      <c r="I464" s="568"/>
      <c r="L464" s="722"/>
      <c r="M464" s="496">
        <v>1</v>
      </c>
      <c r="N464" s="496">
        <v>0</v>
      </c>
      <c r="O464" s="496">
        <v>0</v>
      </c>
      <c r="P464" s="496">
        <v>0</v>
      </c>
      <c r="Q464" s="496">
        <v>0</v>
      </c>
      <c r="R464" s="496">
        <v>0</v>
      </c>
      <c r="S464" s="496">
        <v>0</v>
      </c>
      <c r="T464" s="496">
        <v>0</v>
      </c>
      <c r="U464" s="496">
        <v>0</v>
      </c>
      <c r="V464" s="496">
        <v>0</v>
      </c>
    </row>
    <row r="465" spans="2:22" outlineLevel="1">
      <c r="B465" s="324" t="s">
        <v>672</v>
      </c>
      <c r="C465" s="554">
        <f>IF('R6a - Net Debt input'!D262 = "","",'R6a - Net Debt input'!D262)</f>
        <v>39834</v>
      </c>
      <c r="D465" s="569">
        <f>IF('R6a - Net Debt input'!E262 = "","",'R6a - Net Debt input'!E262)</f>
        <v>47861</v>
      </c>
      <c r="E465" s="567" t="str">
        <f>IF('R6a - Net Debt input'!F262 = "","",'R6a - Net Debt input'!F262)</f>
        <v>22.0 YR SWAP: PAY 6M Libor +348 bp GBP RCV 7.37500% GBP 24.0 M MAT: 13-JAN-2031</v>
      </c>
      <c r="F465" s="567"/>
      <c r="G465" s="567"/>
      <c r="H465" s="567"/>
      <c r="I465" s="568"/>
      <c r="L465" s="722"/>
      <c r="M465" s="496">
        <v>0.6</v>
      </c>
      <c r="N465" s="496">
        <v>0</v>
      </c>
      <c r="O465" s="496">
        <v>0</v>
      </c>
      <c r="P465" s="496">
        <v>0</v>
      </c>
      <c r="Q465" s="496">
        <v>0</v>
      </c>
      <c r="R465" s="496">
        <v>0</v>
      </c>
      <c r="S465" s="496">
        <v>0</v>
      </c>
      <c r="T465" s="496">
        <v>0</v>
      </c>
      <c r="U465" s="496">
        <v>0</v>
      </c>
      <c r="V465" s="496">
        <v>0</v>
      </c>
    </row>
    <row r="466" spans="2:22" outlineLevel="1">
      <c r="B466" s="324" t="s">
        <v>673</v>
      </c>
      <c r="C466" s="554">
        <f>IF('R6a - Net Debt input'!D263 = "","",'R6a - Net Debt input'!D263)</f>
        <v>40298</v>
      </c>
      <c r="D466" s="569">
        <f>IF('R6a - Net Debt input'!E263 = "","",'R6a - Net Debt input'!E263)</f>
        <v>47861</v>
      </c>
      <c r="E466" s="567" t="str">
        <f>IF('R6a - Net Debt input'!F263 = "","",'R6a - Net Debt input'!F263)</f>
        <v>20.7 YR SWAP: PAY 6M Libor +311 bp GBP RCV 7.37500% GBP 38.0 M MAT: 13-JAN-2031</v>
      </c>
      <c r="F466" s="567"/>
      <c r="G466" s="567"/>
      <c r="H466" s="567"/>
      <c r="I466" s="568"/>
      <c r="L466" s="722"/>
      <c r="M466" s="496">
        <v>0.9</v>
      </c>
      <c r="N466" s="496">
        <v>0</v>
      </c>
      <c r="O466" s="496">
        <v>0</v>
      </c>
      <c r="P466" s="496">
        <v>0</v>
      </c>
      <c r="Q466" s="496">
        <v>0</v>
      </c>
      <c r="R466" s="496">
        <v>0</v>
      </c>
      <c r="S466" s="496">
        <v>0</v>
      </c>
      <c r="T466" s="496">
        <v>0</v>
      </c>
      <c r="U466" s="496">
        <v>0</v>
      </c>
      <c r="V466" s="496">
        <v>0</v>
      </c>
    </row>
    <row r="467" spans="2:22" outlineLevel="1">
      <c r="B467" s="324" t="s">
        <v>674</v>
      </c>
      <c r="C467" s="554">
        <f>IF('R6a - Net Debt input'!D264 = "","",'R6a - Net Debt input'!D264)</f>
        <v>40302</v>
      </c>
      <c r="D467" s="569">
        <f>IF('R6a - Net Debt input'!E264 = "","",'R6a - Net Debt input'!E264)</f>
        <v>47861</v>
      </c>
      <c r="E467" s="567" t="str">
        <f>IF('R6a - Net Debt input'!F264 = "","",'R6a - Net Debt input'!F264)</f>
        <v>20.7 YR SWAP: PAY 6M Libor +315 bp GBP RCV 7.37500% GBP 38.0 M MAT: 13-JAN-2031</v>
      </c>
      <c r="F467" s="567"/>
      <c r="G467" s="567"/>
      <c r="H467" s="567"/>
      <c r="I467" s="568"/>
      <c r="L467" s="722"/>
      <c r="M467" s="496">
        <v>0.9</v>
      </c>
      <c r="N467" s="496">
        <v>0</v>
      </c>
      <c r="O467" s="496">
        <v>0</v>
      </c>
      <c r="P467" s="496">
        <v>0</v>
      </c>
      <c r="Q467" s="496">
        <v>0</v>
      </c>
      <c r="R467" s="496">
        <v>0</v>
      </c>
      <c r="S467" s="496">
        <v>0</v>
      </c>
      <c r="T467" s="496">
        <v>0</v>
      </c>
      <c r="U467" s="496">
        <v>0</v>
      </c>
      <c r="V467" s="496">
        <v>0</v>
      </c>
    </row>
    <row r="468" spans="2:22" outlineLevel="1">
      <c r="B468" s="324" t="s">
        <v>675</v>
      </c>
      <c r="C468" s="554">
        <f>IF('R6a - Net Debt input'!D265 = "","",'R6a - Net Debt input'!D265)</f>
        <v>40311</v>
      </c>
      <c r="D468" s="569">
        <f>IF('R6a - Net Debt input'!E265 = "","",'R6a - Net Debt input'!E265)</f>
        <v>47861</v>
      </c>
      <c r="E468" s="567" t="str">
        <f>IF('R6a - Net Debt input'!F265 = "","",'R6a - Net Debt input'!F265)</f>
        <v>20.7 YR SWAP: PAY 6M Libor +320 bp GBP RCV 7.37500% GBP 48.0 M MAT: 13-JAN-2031</v>
      </c>
      <c r="F468" s="567"/>
      <c r="G468" s="567"/>
      <c r="H468" s="567"/>
      <c r="I468" s="568"/>
      <c r="L468" s="722"/>
      <c r="M468" s="496">
        <v>1.2</v>
      </c>
      <c r="N468" s="496">
        <v>0</v>
      </c>
      <c r="O468" s="496">
        <v>0</v>
      </c>
      <c r="P468" s="496">
        <v>0</v>
      </c>
      <c r="Q468" s="496">
        <v>0</v>
      </c>
      <c r="R468" s="496">
        <v>0</v>
      </c>
      <c r="S468" s="496">
        <v>0</v>
      </c>
      <c r="T468" s="496">
        <v>0</v>
      </c>
      <c r="U468" s="496">
        <v>0</v>
      </c>
      <c r="V468" s="496">
        <v>0</v>
      </c>
    </row>
    <row r="469" spans="2:22" outlineLevel="1">
      <c r="B469" s="324" t="s">
        <v>676</v>
      </c>
      <c r="C469" s="554">
        <f>IF('R6a - Net Debt input'!D266 = "","",'R6a - Net Debt input'!D266)</f>
        <v>40400</v>
      </c>
      <c r="D469" s="569">
        <f>IF('R6a - Net Debt input'!E266 = "","",'R6a - Net Debt input'!E266)</f>
        <v>47861</v>
      </c>
      <c r="E469" s="567" t="str">
        <f>IF('R6a - Net Debt input'!F266 = "","",'R6a - Net Debt input'!F266)</f>
        <v>18.5 YR SWAP: PAY 7.37500% GBP RCV 6M Libor +310 bp GBP 50.0 M MAT: 13-JAN-2031</v>
      </c>
      <c r="F469" s="567"/>
      <c r="G469" s="567"/>
      <c r="H469" s="567"/>
      <c r="I469" s="568"/>
      <c r="L469" s="722"/>
      <c r="M469" s="496">
        <v>-0.4</v>
      </c>
      <c r="N469" s="496">
        <v>0</v>
      </c>
      <c r="O469" s="496">
        <v>0</v>
      </c>
      <c r="P469" s="496">
        <v>0</v>
      </c>
      <c r="Q469" s="496">
        <v>0</v>
      </c>
      <c r="R469" s="496">
        <v>0</v>
      </c>
      <c r="S469" s="496">
        <v>0</v>
      </c>
      <c r="T469" s="496">
        <v>0</v>
      </c>
      <c r="U469" s="496">
        <v>0</v>
      </c>
      <c r="V469" s="496">
        <v>0</v>
      </c>
    </row>
    <row r="470" spans="2:22" outlineLevel="1">
      <c r="B470" s="324" t="s">
        <v>677</v>
      </c>
      <c r="C470" s="554">
        <f>IF('R6a - Net Debt input'!D267 = "","",'R6a - Net Debt input'!D267)</f>
        <v>41505</v>
      </c>
      <c r="D470" s="569">
        <f>IF('R6a - Net Debt input'!E267 = "","",'R6a - Net Debt input'!E267)</f>
        <v>47861</v>
      </c>
      <c r="E470" s="567" t="str">
        <f>IF('R6a - Net Debt input'!F267 = "","",'R6a - Net Debt input'!F267)</f>
        <v>15 YR SWAP: PAY 7.37500% GBP RCV 6M Libor +433 bp GBP 167.6 M MAT: 13-JAN-2031</v>
      </c>
      <c r="F470" s="567"/>
      <c r="G470" s="567"/>
      <c r="H470" s="567"/>
      <c r="I470" s="568"/>
      <c r="L470" s="722"/>
      <c r="M470" s="496">
        <v>-1.8</v>
      </c>
      <c r="N470" s="496">
        <v>0</v>
      </c>
      <c r="O470" s="496">
        <v>0</v>
      </c>
      <c r="P470" s="496">
        <v>0</v>
      </c>
      <c r="Q470" s="496">
        <v>0</v>
      </c>
      <c r="R470" s="496">
        <v>0</v>
      </c>
      <c r="S470" s="496">
        <v>0</v>
      </c>
      <c r="T470" s="496">
        <v>0</v>
      </c>
      <c r="U470" s="496">
        <v>0</v>
      </c>
      <c r="V470" s="496">
        <v>0</v>
      </c>
    </row>
    <row r="471" spans="2:22" outlineLevel="1">
      <c r="B471" s="324" t="s">
        <v>678</v>
      </c>
      <c r="C471" s="554">
        <f>IF('R6a - Net Debt input'!D268 = "","",'R6a - Net Debt input'!D268)</f>
        <v>41975</v>
      </c>
      <c r="D471" s="569">
        <f>IF('R6a - Net Debt input'!E268 = "","",'R6a - Net Debt input'!E268)</f>
        <v>47861</v>
      </c>
      <c r="E471" s="567" t="str">
        <f>IF('R6a - Net Debt input'!F268 = "","",'R6a - Net Debt input'!F268)</f>
        <v>16.1 YR SWAP: PAY 7.37500% GBP RCV 6M Libor +501 bp GBP 45.0 M MAT: 13-JAN-2031</v>
      </c>
      <c r="F471" s="567"/>
      <c r="G471" s="567"/>
      <c r="H471" s="567"/>
      <c r="I471" s="568"/>
      <c r="L471" s="722"/>
      <c r="M471" s="496">
        <v>-1.3</v>
      </c>
      <c r="N471" s="496">
        <v>0</v>
      </c>
      <c r="O471" s="496">
        <v>0</v>
      </c>
      <c r="P471" s="496">
        <v>0</v>
      </c>
      <c r="Q471" s="496">
        <v>0</v>
      </c>
      <c r="R471" s="496">
        <v>0</v>
      </c>
      <c r="S471" s="496">
        <v>0</v>
      </c>
      <c r="T471" s="496">
        <v>0</v>
      </c>
      <c r="U471" s="496">
        <v>0</v>
      </c>
      <c r="V471" s="496">
        <v>0</v>
      </c>
    </row>
    <row r="472" spans="2:22" outlineLevel="1">
      <c r="B472" s="324" t="s">
        <v>679</v>
      </c>
      <c r="C472" s="554">
        <f>IF('R6a - Net Debt input'!D269 = "","",'R6a - Net Debt input'!D269)</f>
        <v>41975</v>
      </c>
      <c r="D472" s="569">
        <f>IF('R6a - Net Debt input'!E269 = "","",'R6a - Net Debt input'!E269)</f>
        <v>47861</v>
      </c>
      <c r="E472" s="567" t="str">
        <f>IF('R6a - Net Debt input'!F269 = "","",'R6a - Net Debt input'!F269)</f>
        <v>16.1 YR SWAP: PAY 7.37500% GBP RCV 6M Libor +501 bp GBP 45.0 M MAT: 13-JAN-2031</v>
      </c>
      <c r="F472" s="567"/>
      <c r="G472" s="567"/>
      <c r="H472" s="567"/>
      <c r="I472" s="568"/>
      <c r="L472" s="722"/>
      <c r="M472" s="496">
        <v>-1.3</v>
      </c>
      <c r="N472" s="496">
        <v>0</v>
      </c>
      <c r="O472" s="496">
        <v>0</v>
      </c>
      <c r="P472" s="496">
        <v>0</v>
      </c>
      <c r="Q472" s="496">
        <v>0</v>
      </c>
      <c r="R472" s="496">
        <v>0</v>
      </c>
      <c r="S472" s="496">
        <v>0</v>
      </c>
      <c r="T472" s="496">
        <v>0</v>
      </c>
      <c r="U472" s="496">
        <v>0</v>
      </c>
      <c r="V472" s="496">
        <v>0</v>
      </c>
    </row>
    <row r="473" spans="2:22" outlineLevel="1">
      <c r="B473" s="324" t="s">
        <v>680</v>
      </c>
      <c r="C473" s="554">
        <f>IF('R6a - Net Debt input'!D270 = "","",'R6a - Net Debt input'!D270)</f>
        <v>42354</v>
      </c>
      <c r="D473" s="569">
        <f>IF('R6a - Net Debt input'!E270 = "","",'R6a - Net Debt input'!E270)</f>
        <v>46546</v>
      </c>
      <c r="E473" s="567" t="str">
        <f>IF('R6a - Net Debt input'!F270 = "","",'R6a - Net Debt input'!F270)</f>
        <v>11.5 YR SWAP: PAY 6M Libor +155 bp GBP RCV 4.00000% GBP 21.5 M MAT: 08-JUN-2027</v>
      </c>
      <c r="F473" s="567"/>
      <c r="G473" s="567"/>
      <c r="H473" s="567"/>
      <c r="I473" s="568"/>
      <c r="L473" s="722"/>
      <c r="M473" s="496">
        <v>-0.1</v>
      </c>
      <c r="N473" s="496">
        <v>0</v>
      </c>
      <c r="O473" s="496">
        <v>0</v>
      </c>
      <c r="P473" s="496">
        <v>0</v>
      </c>
      <c r="Q473" s="496">
        <v>0</v>
      </c>
      <c r="R473" s="496">
        <v>0</v>
      </c>
      <c r="S473" s="496">
        <v>0</v>
      </c>
      <c r="T473" s="496">
        <v>0</v>
      </c>
      <c r="U473" s="496">
        <v>0</v>
      </c>
      <c r="V473" s="496">
        <v>0</v>
      </c>
    </row>
    <row r="474" spans="2:22" outlineLevel="1">
      <c r="B474" s="324" t="s">
        <v>681</v>
      </c>
      <c r="C474" s="554">
        <f>IF('R6a - Net Debt input'!D271 = "","",'R6a - Net Debt input'!D271)</f>
        <v>42697</v>
      </c>
      <c r="D474" s="569">
        <f>IF('R6a - Net Debt input'!E271 = "","",'R6a - Net Debt input'!E271)</f>
        <v>46362</v>
      </c>
      <c r="E474" s="567" t="str">
        <f>IF('R6a - Net Debt input'!F271 = "","",'R6a - Net Debt input'!F271)</f>
        <v>10 YR SWAP: PAY 2.04600% GBP RCV 6M Libor +70 bp GBP 100.0 M MAT: 06-DEC-2026</v>
      </c>
      <c r="F474" s="567"/>
      <c r="G474" s="567"/>
      <c r="H474" s="567"/>
      <c r="I474" s="568"/>
      <c r="L474" s="722"/>
      <c r="M474" s="496">
        <v>1.2</v>
      </c>
      <c r="N474" s="496">
        <v>0.19548773999999999</v>
      </c>
      <c r="O474" s="496">
        <v>0</v>
      </c>
      <c r="P474" s="496">
        <v>0</v>
      </c>
      <c r="Q474" s="496">
        <v>0</v>
      </c>
      <c r="R474" s="496">
        <v>0</v>
      </c>
      <c r="S474" s="496">
        <v>0</v>
      </c>
      <c r="T474" s="496">
        <v>0</v>
      </c>
      <c r="U474" s="496">
        <v>0</v>
      </c>
      <c r="V474" s="496">
        <v>0</v>
      </c>
    </row>
    <row r="475" spans="2:22" outlineLevel="1">
      <c r="B475" s="324" t="s">
        <v>682</v>
      </c>
      <c r="C475" s="554">
        <f>IF('R6a - Net Debt input'!D272 = "","",'R6a - Net Debt input'!D272)</f>
        <v>41305</v>
      </c>
      <c r="D475" s="569">
        <f>IF('R6a - Net Debt input'!E272 = "","",'R6a - Net Debt input'!E272)</f>
        <v>45686</v>
      </c>
      <c r="E475" s="567" t="str">
        <f>IF('R6a - Net Debt input'!F272 = "","",'R6a - Net Debt input'!F272)</f>
        <v>12.0 YR SWAP: PAY 3.18000% GBP RCV 6M Libor +83 bp GBP 77.0 M MAT: 29-JAN-2025</v>
      </c>
      <c r="F475" s="567"/>
      <c r="G475" s="567"/>
      <c r="H475" s="567"/>
      <c r="I475" s="568"/>
      <c r="L475" s="722"/>
      <c r="M475" s="496">
        <v>1.5</v>
      </c>
      <c r="N475" s="496">
        <v>0</v>
      </c>
      <c r="O475" s="496">
        <v>0</v>
      </c>
      <c r="P475" s="496">
        <v>0</v>
      </c>
      <c r="Q475" s="496">
        <v>0</v>
      </c>
      <c r="R475" s="496">
        <v>0</v>
      </c>
      <c r="S475" s="496">
        <v>0</v>
      </c>
      <c r="T475" s="496">
        <v>0</v>
      </c>
      <c r="U475" s="496">
        <v>0</v>
      </c>
      <c r="V475" s="496">
        <v>0</v>
      </c>
    </row>
    <row r="476" spans="2:22" outlineLevel="1">
      <c r="B476" s="324" t="s">
        <v>683</v>
      </c>
      <c r="C476" s="554">
        <f>IF('R6a - Net Debt input'!D273 = "","",'R6a - Net Debt input'!D273)</f>
        <v>43718</v>
      </c>
      <c r="D476" s="569">
        <f>IF('R6a - Net Debt input'!E273 = "","",'R6a - Net Debt input'!E273)</f>
        <v>50664</v>
      </c>
      <c r="E476" s="567" t="str">
        <f>IF('R6a - Net Debt input'!F273 = "","",'R6a - Net Debt input'!F273)</f>
        <v>19 YR SWAP: RCV 2.00000% GBP PAY 6M Libor +119 bp GBP 30.0 M MAT: 16-SEP-2038</v>
      </c>
      <c r="F476" s="567"/>
      <c r="G476" s="567"/>
      <c r="H476" s="567"/>
      <c r="I476" s="568"/>
      <c r="L476" s="722"/>
      <c r="M476" s="496">
        <v>-0.1</v>
      </c>
      <c r="N476" s="496">
        <v>0</v>
      </c>
      <c r="O476" s="496">
        <v>0</v>
      </c>
      <c r="P476" s="496">
        <v>0</v>
      </c>
      <c r="Q476" s="496">
        <v>0</v>
      </c>
      <c r="R476" s="496">
        <v>0</v>
      </c>
      <c r="S476" s="496">
        <v>0</v>
      </c>
      <c r="T476" s="496">
        <v>0</v>
      </c>
      <c r="U476" s="496">
        <v>0</v>
      </c>
      <c r="V476" s="496">
        <v>0</v>
      </c>
    </row>
    <row r="477" spans="2:22" outlineLevel="1">
      <c r="B477" s="324" t="s">
        <v>684</v>
      </c>
      <c r="C477" s="554">
        <f>IF('R6a - Net Debt input'!D274 = "","",'R6a - Net Debt input'!D274)</f>
        <v>43843</v>
      </c>
      <c r="D477" s="569">
        <f>IF('R6a - Net Debt input'!E274 = "","",'R6a - Net Debt input'!E274)</f>
        <v>50664</v>
      </c>
      <c r="E477" s="567" t="str">
        <f>IF('R6a - Net Debt input'!F274 = "","",'R6a - Net Debt input'!F274)</f>
        <v>18.7 YR SWAP: RCV 2.00000% GBP PAY 6M Libor +96 bp GBP 30.0 M MAT: 16-SEP-2038</v>
      </c>
      <c r="F477" s="567"/>
      <c r="G477" s="567"/>
      <c r="H477" s="567"/>
      <c r="I477" s="568"/>
      <c r="L477" s="722"/>
      <c r="M477" s="496">
        <v>-0.1</v>
      </c>
      <c r="N477" s="496">
        <v>0</v>
      </c>
      <c r="O477" s="496">
        <v>0</v>
      </c>
      <c r="P477" s="496">
        <v>0</v>
      </c>
      <c r="Q477" s="496">
        <v>0</v>
      </c>
      <c r="R477" s="496">
        <v>0</v>
      </c>
      <c r="S477" s="496">
        <v>0</v>
      </c>
      <c r="T477" s="496">
        <v>0</v>
      </c>
      <c r="U477" s="496">
        <v>0</v>
      </c>
      <c r="V477" s="496">
        <v>0</v>
      </c>
    </row>
    <row r="478" spans="2:22" outlineLevel="1">
      <c r="B478" s="324" t="s">
        <v>685</v>
      </c>
      <c r="C478" s="554">
        <f>IF('R6a - Net Debt input'!D275 = "","",'R6a - Net Debt input'!D275)</f>
        <v>43889</v>
      </c>
      <c r="D478" s="569">
        <f>IF('R6a - Net Debt input'!E275 = "","",'R6a - Net Debt input'!E275)</f>
        <v>49369</v>
      </c>
      <c r="E478" s="567" t="str">
        <f>IF('R6a - Net Debt input'!F275 = "","",'R6a - Net Debt input'!F275)</f>
        <v>16 YR SWAP: PAY 5.00000% GBP RCV 6M Libor +72 bp GBP 7.0 M MAT: 01-MAR-2035</v>
      </c>
      <c r="F478" s="567"/>
      <c r="G478" s="567"/>
      <c r="H478" s="567"/>
      <c r="I478" s="568"/>
      <c r="L478" s="722"/>
      <c r="M478" s="496">
        <v>-0.1</v>
      </c>
      <c r="N478" s="496">
        <v>0</v>
      </c>
      <c r="O478" s="496">
        <v>0</v>
      </c>
      <c r="P478" s="496">
        <v>0</v>
      </c>
      <c r="Q478" s="496">
        <v>0</v>
      </c>
      <c r="R478" s="496">
        <v>0</v>
      </c>
      <c r="S478" s="496">
        <v>0</v>
      </c>
      <c r="T478" s="496">
        <v>0</v>
      </c>
      <c r="U478" s="496">
        <v>0</v>
      </c>
      <c r="V478" s="496">
        <v>0</v>
      </c>
    </row>
    <row r="479" spans="2:22" outlineLevel="1">
      <c r="B479" s="324" t="s">
        <v>686</v>
      </c>
      <c r="C479" s="554">
        <f>IF('R6a - Net Debt input'!D276 = "","",'R6a - Net Debt input'!D276)</f>
        <v>43930</v>
      </c>
      <c r="D479" s="569">
        <f>IF('R6a - Net Debt input'!E276 = "","",'R6a - Net Debt input'!E276)</f>
        <v>51243</v>
      </c>
      <c r="E479" s="567" t="str">
        <f>IF('R6a - Net Debt input'!F276 = "","",'R6a - Net Debt input'!F276)</f>
        <v>20 YR SWAP: RCV 2.00000% GBP PAY 6M Libor +139 bp GBP 25.0 M MAT: 17-APR-2040</v>
      </c>
      <c r="F479" s="567"/>
      <c r="G479" s="567"/>
      <c r="H479" s="567"/>
      <c r="I479" s="568"/>
      <c r="L479" s="722"/>
      <c r="M479" s="496">
        <v>0.2</v>
      </c>
      <c r="N479" s="496">
        <v>0</v>
      </c>
      <c r="O479" s="496">
        <v>0</v>
      </c>
      <c r="P479" s="496">
        <v>0</v>
      </c>
      <c r="Q479" s="496">
        <v>0</v>
      </c>
      <c r="R479" s="496">
        <v>0</v>
      </c>
      <c r="S479" s="496">
        <v>0</v>
      </c>
      <c r="T479" s="496">
        <v>0</v>
      </c>
      <c r="U479" s="496">
        <v>0</v>
      </c>
      <c r="V479" s="496">
        <v>0</v>
      </c>
    </row>
    <row r="480" spans="2:22" outlineLevel="1">
      <c r="B480" s="324" t="s">
        <v>687</v>
      </c>
      <c r="C480" s="554">
        <f>IF('R6a - Net Debt input'!D277 = "","",'R6a - Net Debt input'!D277)</f>
        <v>44005</v>
      </c>
      <c r="D480" s="569">
        <f>IF('R6a - Net Debt input'!E277 = "","",'R6a - Net Debt input'!E277)</f>
        <v>46281</v>
      </c>
      <c r="E480" s="567" t="str">
        <f>IF('R6a - Net Debt input'!F277 = "","",'R6a - Net Debt input'!F277)</f>
        <v>6.2 YR SWAP: RCV 1.37500% GBP PAY 6M Libor +109 bp GBP 35.0 M MAT: 16-SEP-2026</v>
      </c>
      <c r="F480" s="567"/>
      <c r="G480" s="567"/>
      <c r="H480" s="567"/>
      <c r="I480" s="568"/>
      <c r="L480" s="722"/>
      <c r="M480" s="496">
        <v>0</v>
      </c>
      <c r="N480" s="496">
        <v>0</v>
      </c>
      <c r="O480" s="496">
        <v>0</v>
      </c>
      <c r="P480" s="496">
        <v>0</v>
      </c>
      <c r="Q480" s="496">
        <v>0</v>
      </c>
      <c r="R480" s="496">
        <v>0</v>
      </c>
      <c r="S480" s="496">
        <v>0</v>
      </c>
      <c r="T480" s="496">
        <v>0</v>
      </c>
      <c r="U480" s="496">
        <v>0</v>
      </c>
      <c r="V480" s="496">
        <v>0</v>
      </c>
    </row>
    <row r="481" spans="2:22" outlineLevel="1">
      <c r="B481" s="324" t="s">
        <v>688</v>
      </c>
      <c r="C481" s="554">
        <f>IF('R6a - Net Debt input'!D278 = "","",'R6a - Net Debt input'!D278)</f>
        <v>44005</v>
      </c>
      <c r="D481" s="569">
        <f>IF('R6a - Net Debt input'!E278 = "","",'R6a - Net Debt input'!E278)</f>
        <v>46281</v>
      </c>
      <c r="E481" s="567" t="str">
        <f>IF('R6a - Net Debt input'!F278 = "","",'R6a - Net Debt input'!F278)</f>
        <v>6.2 YR SWAP: RCV 1.37500% GBP PAY 6M Libor +109 bp GBP 35.0 M MAT: 16-SEP-2026</v>
      </c>
      <c r="F481" s="567"/>
      <c r="G481" s="567"/>
      <c r="H481" s="567"/>
      <c r="I481" s="568"/>
      <c r="L481" s="722"/>
      <c r="M481" s="496">
        <v>0</v>
      </c>
      <c r="N481" s="496">
        <v>0</v>
      </c>
      <c r="O481" s="496">
        <v>0</v>
      </c>
      <c r="P481" s="496">
        <v>0</v>
      </c>
      <c r="Q481" s="496">
        <v>0</v>
      </c>
      <c r="R481" s="496">
        <v>0</v>
      </c>
      <c r="S481" s="496">
        <v>0</v>
      </c>
      <c r="T481" s="496">
        <v>0</v>
      </c>
      <c r="U481" s="496">
        <v>0</v>
      </c>
      <c r="V481" s="496">
        <v>0</v>
      </c>
    </row>
    <row r="482" spans="2:22" outlineLevel="1">
      <c r="B482" s="324" t="s">
        <v>689</v>
      </c>
      <c r="C482" s="554">
        <f>IF('R6a - Net Debt input'!D279 = "","",'R6a - Net Debt input'!D279)</f>
        <v>44106</v>
      </c>
      <c r="D482" s="569">
        <f>IF('R6a - Net Debt input'!E279 = "","",'R6a - Net Debt input'!E279)</f>
        <v>47861</v>
      </c>
      <c r="E482" s="567" t="str">
        <f>IF('R6a - Net Debt input'!F279 = "","",'R6a - Net Debt input'!F279)</f>
        <v>11 YR SWAP: PAY 7.37500% GBP RCV 6M Libor +304 bp GBP 19.0 M MAT: 13-JAN-2031</v>
      </c>
      <c r="F482" s="567"/>
      <c r="G482" s="567"/>
      <c r="H482" s="567"/>
      <c r="I482" s="568"/>
      <c r="L482" s="722"/>
      <c r="M482" s="496">
        <v>-0.5</v>
      </c>
      <c r="N482" s="496">
        <v>0</v>
      </c>
      <c r="O482" s="496">
        <v>0</v>
      </c>
      <c r="P482" s="496">
        <v>0</v>
      </c>
      <c r="Q482" s="496">
        <v>0</v>
      </c>
      <c r="R482" s="496">
        <v>0</v>
      </c>
      <c r="S482" s="496">
        <v>0</v>
      </c>
      <c r="T482" s="496">
        <v>0</v>
      </c>
      <c r="U482" s="496">
        <v>0</v>
      </c>
      <c r="V482" s="496">
        <v>0</v>
      </c>
    </row>
    <row r="483" spans="2:22" outlineLevel="1">
      <c r="B483" s="324" t="s">
        <v>690</v>
      </c>
      <c r="C483" s="554">
        <f>IF('R6a - Net Debt input'!D280 = "","",'R6a - Net Debt input'!D280)</f>
        <v>44106</v>
      </c>
      <c r="D483" s="569">
        <f>IF('R6a - Net Debt input'!E280 = "","",'R6a - Net Debt input'!E280)</f>
        <v>46546</v>
      </c>
      <c r="E483" s="567" t="str">
        <f>IF('R6a - Net Debt input'!F280 = "","",'R6a - Net Debt input'!F280)</f>
        <v>7 YR SWAP: PAY 6M Libor +136 bp GBP RCV 4.00000% GBP 50.0 M MAT: 08-JUN-2027</v>
      </c>
      <c r="F483" s="567"/>
      <c r="G483" s="567"/>
      <c r="H483" s="567"/>
      <c r="I483" s="568"/>
      <c r="L483" s="722"/>
      <c r="M483" s="496">
        <v>-0.1</v>
      </c>
      <c r="N483" s="496">
        <v>0</v>
      </c>
      <c r="O483" s="496">
        <v>0</v>
      </c>
      <c r="P483" s="496">
        <v>0</v>
      </c>
      <c r="Q483" s="496">
        <v>0</v>
      </c>
      <c r="R483" s="496">
        <v>0</v>
      </c>
      <c r="S483" s="496">
        <v>0</v>
      </c>
      <c r="T483" s="496">
        <v>0</v>
      </c>
      <c r="U483" s="496">
        <v>0</v>
      </c>
      <c r="V483" s="496">
        <v>0</v>
      </c>
    </row>
    <row r="484" spans="2:22" outlineLevel="1">
      <c r="B484" s="324" t="s">
        <v>691</v>
      </c>
      <c r="C484" s="554">
        <f>IF('R6a - Net Debt input'!D281 = "","",'R6a - Net Debt input'!D281)</f>
        <v>44106</v>
      </c>
      <c r="D484" s="569">
        <f>IF('R6a - Net Debt input'!E281 = "","",'R6a - Net Debt input'!E281)</f>
        <v>46546</v>
      </c>
      <c r="E484" s="567" t="str">
        <f>IF('R6a - Net Debt input'!F281 = "","",'R6a - Net Debt input'!F281)</f>
        <v>7 YR SWAP: PAY 6M Libor +135 bp GBP RCV 4.00000% GBP 43.0 M MAT: 08-JUN-2027</v>
      </c>
      <c r="F484" s="567"/>
      <c r="G484" s="567"/>
      <c r="H484" s="567"/>
      <c r="I484" s="568"/>
      <c r="L484" s="722"/>
      <c r="M484" s="496">
        <v>-0.2</v>
      </c>
      <c r="N484" s="496">
        <v>0</v>
      </c>
      <c r="O484" s="496">
        <v>0</v>
      </c>
      <c r="P484" s="496">
        <v>0</v>
      </c>
      <c r="Q484" s="496">
        <v>0</v>
      </c>
      <c r="R484" s="496">
        <v>0</v>
      </c>
      <c r="S484" s="496">
        <v>0</v>
      </c>
      <c r="T484" s="496">
        <v>0</v>
      </c>
      <c r="U484" s="496">
        <v>0</v>
      </c>
      <c r="V484" s="496">
        <v>0</v>
      </c>
    </row>
    <row r="485" spans="2:22" outlineLevel="1">
      <c r="B485" s="324" t="s">
        <v>692</v>
      </c>
      <c r="C485" s="554">
        <f>IF('R6a - Net Debt input'!D282 = "","",'R6a - Net Debt input'!D282)</f>
        <v>44106</v>
      </c>
      <c r="D485" s="569">
        <f>IF('R6a - Net Debt input'!E282 = "","",'R6a - Net Debt input'!E282)</f>
        <v>46546</v>
      </c>
      <c r="E485" s="567" t="str">
        <f>IF('R6a - Net Debt input'!F282 = "","",'R6a - Net Debt input'!F282)</f>
        <v>7 YR SWAP: PAY 6M Libor +158 bp GBP RCV 4.00000% GBP 10.8 M MAT: 08-JUN-2027</v>
      </c>
      <c r="F485" s="567"/>
      <c r="G485" s="567"/>
      <c r="H485" s="567"/>
      <c r="I485" s="568"/>
      <c r="L485" s="722"/>
      <c r="M485" s="496">
        <v>0</v>
      </c>
      <c r="N485" s="496">
        <v>0</v>
      </c>
      <c r="O485" s="496">
        <v>0</v>
      </c>
      <c r="P485" s="496">
        <v>0</v>
      </c>
      <c r="Q485" s="496">
        <v>0</v>
      </c>
      <c r="R485" s="496">
        <v>0</v>
      </c>
      <c r="S485" s="496">
        <v>0</v>
      </c>
      <c r="T485" s="496">
        <v>0</v>
      </c>
      <c r="U485" s="496">
        <v>0</v>
      </c>
      <c r="V485" s="496">
        <v>0</v>
      </c>
    </row>
    <row r="486" spans="2:22" outlineLevel="1">
      <c r="B486" s="324" t="s">
        <v>693</v>
      </c>
      <c r="C486" s="554">
        <f>IF('R6a - Net Debt input'!D283 = "","",'R6a - Net Debt input'!D283)</f>
        <v>44106</v>
      </c>
      <c r="D486" s="569">
        <f>IF('R6a - Net Debt input'!E283 = "","",'R6a - Net Debt input'!E283)</f>
        <v>46546</v>
      </c>
      <c r="E486" s="567" t="str">
        <f>IF('R6a - Net Debt input'!F283 = "","",'R6a - Net Debt input'!F283)</f>
        <v>7 YR SWAP: PAY 6M Libor +164 bp GBP RCV 4.00000% GBP 21.5 M MAT: 08-JUN-2027</v>
      </c>
      <c r="F486" s="567"/>
      <c r="G486" s="567"/>
      <c r="H486" s="567"/>
      <c r="I486" s="568"/>
      <c r="L486" s="722"/>
      <c r="M486" s="496">
        <v>-0.1</v>
      </c>
      <c r="N486" s="496">
        <v>0</v>
      </c>
      <c r="O486" s="496">
        <v>0</v>
      </c>
      <c r="P486" s="496">
        <v>0</v>
      </c>
      <c r="Q486" s="496">
        <v>0</v>
      </c>
      <c r="R486" s="496">
        <v>0</v>
      </c>
      <c r="S486" s="496">
        <v>0</v>
      </c>
      <c r="T486" s="496">
        <v>0</v>
      </c>
      <c r="U486" s="496">
        <v>0</v>
      </c>
      <c r="V486" s="496">
        <v>0</v>
      </c>
    </row>
    <row r="487" spans="2:22" outlineLevel="1">
      <c r="B487" s="324" t="s">
        <v>694</v>
      </c>
      <c r="C487" s="554">
        <f>IF('R6a - Net Debt input'!D284 = "","",'R6a - Net Debt input'!D284)</f>
        <v>43929</v>
      </c>
      <c r="D487" s="569">
        <f>IF('R6a - Net Debt input'!E284 = "","",'R6a - Net Debt input'!E284)</f>
        <v>49346</v>
      </c>
      <c r="E487" s="567" t="str">
        <f>IF('R6a - Net Debt input'!F284 = "","",'R6a - Net Debt input'!F284)</f>
        <v>14.8 YR SWAP: RCV 2.75000% GBP PAY 6M Libor +209 bp GBP 25.0 M MAT: 06-FEB-2035</v>
      </c>
      <c r="F487" s="567"/>
      <c r="G487" s="567"/>
      <c r="H487" s="567"/>
      <c r="I487" s="568"/>
      <c r="L487" s="722"/>
      <c r="M487" s="496">
        <v>0.3</v>
      </c>
      <c r="N487" s="496">
        <v>0</v>
      </c>
      <c r="O487" s="496">
        <v>0</v>
      </c>
      <c r="P487" s="496">
        <v>0</v>
      </c>
      <c r="Q487" s="496">
        <v>0</v>
      </c>
      <c r="R487" s="496">
        <v>0</v>
      </c>
      <c r="S487" s="496">
        <v>0</v>
      </c>
      <c r="T487" s="496">
        <v>0</v>
      </c>
      <c r="U487" s="496">
        <v>0</v>
      </c>
      <c r="V487" s="496">
        <v>0</v>
      </c>
    </row>
    <row r="488" spans="2:22" outlineLevel="1">
      <c r="B488" s="324" t="s">
        <v>695</v>
      </c>
      <c r="C488" s="554">
        <f>IF('R6a - Net Debt input'!D285 = "","",'R6a - Net Debt input'!D285)</f>
        <v>43929</v>
      </c>
      <c r="D488" s="569">
        <f>IF('R6a - Net Debt input'!E285 = "","",'R6a - Net Debt input'!E285)</f>
        <v>49346</v>
      </c>
      <c r="E488" s="567" t="str">
        <f>IF('R6a - Net Debt input'!F285 = "","",'R6a - Net Debt input'!F285)</f>
        <v>14.8 YR SWAP: RCV 2.75000% GBP PAY 6M Libor +207 bp GBP 25.0 M MAT: 06-FEB-2035</v>
      </c>
      <c r="F488" s="567"/>
      <c r="G488" s="567"/>
      <c r="H488" s="567"/>
      <c r="I488" s="568"/>
      <c r="L488" s="722"/>
      <c r="M488" s="496">
        <v>0.3</v>
      </c>
      <c r="N488" s="496">
        <v>0</v>
      </c>
      <c r="O488" s="496">
        <v>0</v>
      </c>
      <c r="P488" s="496">
        <v>0</v>
      </c>
      <c r="Q488" s="496">
        <v>0</v>
      </c>
      <c r="R488" s="496">
        <v>0</v>
      </c>
      <c r="S488" s="496">
        <v>0</v>
      </c>
      <c r="T488" s="496">
        <v>0</v>
      </c>
      <c r="U488" s="496">
        <v>0</v>
      </c>
      <c r="V488" s="496">
        <v>0</v>
      </c>
    </row>
    <row r="489" spans="2:22" outlineLevel="1">
      <c r="B489" s="324" t="s">
        <v>696</v>
      </c>
      <c r="C489" s="554">
        <f>IF('R6a - Net Debt input'!D286 = "","",'R6a - Net Debt input'!D286)</f>
        <v>43929</v>
      </c>
      <c r="D489" s="569">
        <f>IF('R6a - Net Debt input'!E286 = "","",'R6a - Net Debt input'!E286)</f>
        <v>50664</v>
      </c>
      <c r="E489" s="567" t="str">
        <f>IF('R6a - Net Debt input'!F286 = "","",'R6a - Net Debt input'!F286)</f>
        <v>18.4 YR SWAP: RCV 2.00000% GBP PAY 6M Libor +133 bp GBP 25.0 M MAT: 16-SEP-2038</v>
      </c>
      <c r="F489" s="567"/>
      <c r="G489" s="567"/>
      <c r="H489" s="567"/>
      <c r="I489" s="568"/>
      <c r="L489" s="722"/>
      <c r="M489" s="496">
        <v>-0.1</v>
      </c>
      <c r="N489" s="496">
        <v>0</v>
      </c>
      <c r="O489" s="496">
        <v>0</v>
      </c>
      <c r="P489" s="496">
        <v>0</v>
      </c>
      <c r="Q489" s="496">
        <v>0</v>
      </c>
      <c r="R489" s="496">
        <v>0</v>
      </c>
      <c r="S489" s="496">
        <v>0</v>
      </c>
      <c r="T489" s="496">
        <v>0</v>
      </c>
      <c r="U489" s="496">
        <v>0</v>
      </c>
      <c r="V489" s="496">
        <v>0</v>
      </c>
    </row>
    <row r="490" spans="2:22" outlineLevel="1">
      <c r="B490" s="324" t="s">
        <v>697</v>
      </c>
      <c r="C490" s="554">
        <f>IF('R6a - Net Debt input'!D287 = "","",'R6a - Net Debt input'!D287)</f>
        <v>43929</v>
      </c>
      <c r="D490" s="569">
        <f>IF('R6a - Net Debt input'!E287 = "","",'R6a - Net Debt input'!E287)</f>
        <v>50664</v>
      </c>
      <c r="E490" s="567" t="str">
        <f>IF('R6a - Net Debt input'!F287 = "","",'R6a - Net Debt input'!F287)</f>
        <v>18.4 YR SWAP: RCV 2.00000% GBP PAY 6M Libor +132 bp GBP 25.0 M MAT: 16-SEP-2038</v>
      </c>
      <c r="F490" s="567"/>
      <c r="G490" s="567"/>
      <c r="H490" s="567"/>
      <c r="I490" s="568"/>
      <c r="L490" s="722"/>
      <c r="M490" s="496">
        <v>-0.1</v>
      </c>
      <c r="N490" s="496">
        <v>0</v>
      </c>
      <c r="O490" s="496">
        <v>0</v>
      </c>
      <c r="P490" s="496">
        <v>0</v>
      </c>
      <c r="Q490" s="496">
        <v>0</v>
      </c>
      <c r="R490" s="496">
        <v>0</v>
      </c>
      <c r="S490" s="496">
        <v>0</v>
      </c>
      <c r="T490" s="496">
        <v>0</v>
      </c>
      <c r="U490" s="496">
        <v>0</v>
      </c>
      <c r="V490" s="496">
        <v>0</v>
      </c>
    </row>
    <row r="491" spans="2:22" outlineLevel="1">
      <c r="B491" s="324" t="s">
        <v>698</v>
      </c>
      <c r="C491" s="554">
        <f>IF('R6a - Net Debt input'!D288 = "","",'R6a - Net Debt input'!D288)</f>
        <v>44028</v>
      </c>
      <c r="D491" s="569">
        <f>IF('R6a - Net Debt input'!E288 = "","",'R6a - Net Debt input'!E288)</f>
        <v>46961</v>
      </c>
      <c r="E491" s="567" t="str">
        <f>IF('R6a - Net Debt input'!F288 = "","",'R6a - Net Debt input'!F288)</f>
        <v>8 YR SWAP: RCV 1.04450% GBP PAY 6M Libor +76 bp GBP 100.0 M MAT: 27-JUL-2028</v>
      </c>
      <c r="F491" s="567"/>
      <c r="G491" s="567"/>
      <c r="H491" s="567"/>
      <c r="I491" s="568"/>
      <c r="L491" s="722"/>
      <c r="M491" s="496">
        <v>0.3</v>
      </c>
      <c r="N491" s="496">
        <v>0</v>
      </c>
      <c r="O491" s="496">
        <v>0</v>
      </c>
      <c r="P491" s="496">
        <v>0</v>
      </c>
      <c r="Q491" s="496">
        <v>0</v>
      </c>
      <c r="R491" s="496">
        <v>0</v>
      </c>
      <c r="S491" s="496">
        <v>0</v>
      </c>
      <c r="T491" s="496">
        <v>0</v>
      </c>
      <c r="U491" s="496">
        <v>0</v>
      </c>
      <c r="V491" s="496">
        <v>0</v>
      </c>
    </row>
    <row r="492" spans="2:22" outlineLevel="1">
      <c r="B492" s="324" t="s">
        <v>699</v>
      </c>
      <c r="C492" s="554">
        <f>IF('R6a - Net Debt input'!D289 = "","",'R6a - Net Debt input'!D289)</f>
        <v>44106</v>
      </c>
      <c r="D492" s="569">
        <f>IF('R6a - Net Debt input'!E289 = "","",'R6a - Net Debt input'!E289)</f>
        <v>49339</v>
      </c>
      <c r="E492" s="567" t="str">
        <f>IF('R6a - Net Debt input'!F289 = "","",'R6a - Net Debt input'!F289)</f>
        <v>14.5 YR SWAP: PAY 4.01600% GBP RCV 6M Libor +101 bp GBP 48.0 M MAT: 30-JAN-2035</v>
      </c>
      <c r="F492" s="567"/>
      <c r="G492" s="567"/>
      <c r="H492" s="567"/>
      <c r="I492" s="568"/>
      <c r="L492" s="722"/>
      <c r="M492" s="496">
        <v>1.2</v>
      </c>
      <c r="N492" s="496">
        <v>0</v>
      </c>
      <c r="O492" s="496">
        <v>0</v>
      </c>
      <c r="P492" s="496">
        <v>0</v>
      </c>
      <c r="Q492" s="496">
        <v>0</v>
      </c>
      <c r="R492" s="496">
        <v>0</v>
      </c>
      <c r="S492" s="496">
        <v>0</v>
      </c>
      <c r="T492" s="496">
        <v>0</v>
      </c>
      <c r="U492" s="496">
        <v>0</v>
      </c>
      <c r="V492" s="496">
        <v>0</v>
      </c>
    </row>
    <row r="493" spans="2:22" outlineLevel="1">
      <c r="B493" s="324" t="s">
        <v>700</v>
      </c>
      <c r="C493" s="554">
        <f>IF('R6a - Net Debt input'!D290 = "","",'R6a - Net Debt input'!D290)</f>
        <v>44321</v>
      </c>
      <c r="D493" s="569">
        <f>IF('R6a - Net Debt input'!E290 = "","",'R6a - Net Debt input'!E290)</f>
        <v>49346</v>
      </c>
      <c r="E493" s="567" t="str">
        <f>IF('R6a - Net Debt input'!F290 = "","",'R6a - Net Debt input'!F290)</f>
        <v>14 YR SWAP: RCV 2.75000% GBP PAY 1D SONIA +236 bp GBP 25.0 M MAT: 06-FEB-2035</v>
      </c>
      <c r="F493" s="567"/>
      <c r="G493" s="567"/>
      <c r="H493" s="567"/>
      <c r="I493" s="568"/>
      <c r="L493" s="722"/>
      <c r="M493" s="496">
        <v>-0.4</v>
      </c>
      <c r="N493" s="496">
        <v>0.27037946000000002</v>
      </c>
      <c r="O493" s="496">
        <v>0.50757255999999995</v>
      </c>
      <c r="P493" s="496">
        <v>0.40990736999999999</v>
      </c>
      <c r="Q493" s="496">
        <v>0.34182294000000002</v>
      </c>
      <c r="R493" s="496">
        <v>0.30319351</v>
      </c>
      <c r="S493" s="496">
        <v>0.26777323999999997</v>
      </c>
      <c r="T493" s="496">
        <v>0.24484628</v>
      </c>
      <c r="U493" s="496">
        <v>0.24591925000000001</v>
      </c>
      <c r="V493" s="496">
        <v>0.25391493999999998</v>
      </c>
    </row>
    <row r="494" spans="2:22" outlineLevel="1">
      <c r="B494" s="324" t="s">
        <v>701</v>
      </c>
      <c r="C494" s="554">
        <f>IF('R6a - Net Debt input'!D291 = "","",'R6a - Net Debt input'!D291)</f>
        <v>44321</v>
      </c>
      <c r="D494" s="569">
        <f>IF('R6a - Net Debt input'!E291 = "","",'R6a - Net Debt input'!E291)</f>
        <v>49346</v>
      </c>
      <c r="E494" s="567" t="str">
        <f>IF('R6a - Net Debt input'!F291 = "","",'R6a - Net Debt input'!F291)</f>
        <v>14 YR SWAP: RCV 2.75000% GBP PAY 1D SONIA +235 bp GBP 25.0 M MAT: 06-FEB-2035</v>
      </c>
      <c r="F494" s="567"/>
      <c r="G494" s="567"/>
      <c r="H494" s="567"/>
      <c r="I494" s="568"/>
      <c r="L494" s="722"/>
      <c r="M494" s="496">
        <v>-0.4</v>
      </c>
      <c r="N494" s="496">
        <v>0.26693890999999997</v>
      </c>
      <c r="O494" s="496">
        <v>0.50411309999999998</v>
      </c>
      <c r="P494" s="496">
        <v>0.40645737999999998</v>
      </c>
      <c r="Q494" s="496">
        <v>0.33837294000000001</v>
      </c>
      <c r="R494" s="496">
        <v>0.2997435</v>
      </c>
      <c r="S494" s="496">
        <v>0.26431378000000005</v>
      </c>
      <c r="T494" s="496">
        <v>0.24139627</v>
      </c>
      <c r="U494" s="496">
        <v>0.24246924</v>
      </c>
      <c r="V494" s="496">
        <v>0.25046492999999997</v>
      </c>
    </row>
    <row r="495" spans="2:22" outlineLevel="1">
      <c r="B495" s="324" t="s">
        <v>702</v>
      </c>
      <c r="C495" s="554">
        <f>IF('R6a - Net Debt input'!D292 = "","",'R6a - Net Debt input'!D292)</f>
        <v>44321</v>
      </c>
      <c r="D495" s="569">
        <f>IF('R6a - Net Debt input'!E292 = "","",'R6a - Net Debt input'!E292)</f>
        <v>51243</v>
      </c>
      <c r="E495" s="567" t="str">
        <f>IF('R6a - Net Debt input'!F292 = "","",'R6a - Net Debt input'!F292)</f>
        <v>19 YR SWAP: RCV 2.00000% GBP PAY 1D SONIA +166 bp GBP 25.0 M MAT: 17-APR-2040</v>
      </c>
      <c r="F495" s="567"/>
      <c r="G495" s="567"/>
      <c r="H495" s="567"/>
      <c r="I495" s="568"/>
      <c r="L495" s="722"/>
      <c r="M495" s="496">
        <v>-0.3</v>
      </c>
      <c r="N495" s="496">
        <v>0.30524479999999998</v>
      </c>
      <c r="O495" s="496">
        <v>0.51080773999999995</v>
      </c>
      <c r="P495" s="496">
        <v>0.41889442999999998</v>
      </c>
      <c r="Q495" s="496">
        <v>0.35256873999999999</v>
      </c>
      <c r="R495" s="496">
        <v>0.31617972999999999</v>
      </c>
      <c r="S495" s="496">
        <v>0.28126321000000004</v>
      </c>
      <c r="T495" s="496">
        <v>0.25423024</v>
      </c>
      <c r="U495" s="496">
        <v>0.25876079000000002</v>
      </c>
      <c r="V495" s="496">
        <v>0.26677453000000001</v>
      </c>
    </row>
    <row r="496" spans="2:22" outlineLevel="1">
      <c r="B496" s="324" t="s">
        <v>703</v>
      </c>
      <c r="C496" s="554">
        <f>IF('R6a - Net Debt input'!D293 = "","",'R6a - Net Debt input'!D293)</f>
        <v>44321</v>
      </c>
      <c r="D496" s="569">
        <f>IF('R6a - Net Debt input'!E293 = "","",'R6a - Net Debt input'!E293)</f>
        <v>46546</v>
      </c>
      <c r="E496" s="567" t="str">
        <f>IF('R6a - Net Debt input'!F293 = "","",'R6a - Net Debt input'!F293)</f>
        <v>6 YR SWAP: PAY 1D SONIA +180 bp GBP RCV 4.00000% GBP 21.5 M MAT: 08-JUN-2027</v>
      </c>
      <c r="F496" s="567"/>
      <c r="G496" s="567"/>
      <c r="H496" s="567"/>
      <c r="I496" s="568"/>
      <c r="L496" s="722"/>
      <c r="M496" s="496">
        <v>-0.4</v>
      </c>
      <c r="N496" s="496">
        <v>-0.1481886</v>
      </c>
      <c r="O496" s="496">
        <v>3.5947920000000001E-2</v>
      </c>
      <c r="P496" s="496">
        <v>-3.7359300000000005E-2</v>
      </c>
      <c r="Q496" s="496">
        <v>-9.5616289999999993E-2</v>
      </c>
      <c r="R496" s="496">
        <v>-0.12894255999999998</v>
      </c>
      <c r="S496" s="496">
        <v>-2.6532299999999998E-2</v>
      </c>
      <c r="T496" s="496">
        <v>0</v>
      </c>
      <c r="U496" s="496">
        <v>0</v>
      </c>
      <c r="V496" s="496">
        <v>0</v>
      </c>
    </row>
    <row r="497" spans="2:22" outlineLevel="1">
      <c r="B497" s="324" t="s">
        <v>704</v>
      </c>
      <c r="C497" s="554">
        <f>IF('R6a - Net Debt input'!D294 = "","",'R6a - Net Debt input'!D294)</f>
        <v>44321</v>
      </c>
      <c r="D497" s="569">
        <f>IF('R6a - Net Debt input'!E294 = "","",'R6a - Net Debt input'!E294)</f>
        <v>46546</v>
      </c>
      <c r="E497" s="567" t="str">
        <f>IF('R6a - Net Debt input'!F294 = "","",'R6a - Net Debt input'!F294)</f>
        <v>6 YR SWAP: PAY 1D SONIA +161 bp GBP RCV 4.00000% GBP 15.0 M MAT: 08-JUN-2027</v>
      </c>
      <c r="F497" s="567"/>
      <c r="G497" s="567"/>
      <c r="H497" s="567"/>
      <c r="I497" s="568"/>
      <c r="L497" s="722"/>
      <c r="M497" s="496">
        <v>-0.3</v>
      </c>
      <c r="N497" s="496">
        <v>-0.13218327999999999</v>
      </c>
      <c r="O497" s="496">
        <v>-3.8741599999999998E-3</v>
      </c>
      <c r="P497" s="496">
        <v>-5.4939629999999996E-2</v>
      </c>
      <c r="Q497" s="496">
        <v>-9.558403E-2</v>
      </c>
      <c r="R497" s="496">
        <v>-0.11883492999999999</v>
      </c>
      <c r="S497" s="496">
        <v>-2.396947E-2</v>
      </c>
      <c r="T497" s="496">
        <v>0</v>
      </c>
      <c r="U497" s="496">
        <v>0</v>
      </c>
      <c r="V497" s="496">
        <v>0</v>
      </c>
    </row>
    <row r="498" spans="2:22" outlineLevel="1">
      <c r="B498" s="324" t="s">
        <v>705</v>
      </c>
      <c r="C498" s="554">
        <f>IF('R6a - Net Debt input'!D295 = "","",'R6a - Net Debt input'!D295)</f>
        <v>44321</v>
      </c>
      <c r="D498" s="569">
        <f>IF('R6a - Net Debt input'!E295 = "","",'R6a - Net Debt input'!E295)</f>
        <v>46546</v>
      </c>
      <c r="E498" s="567" t="str">
        <f>IF('R6a - Net Debt input'!F295 = "","",'R6a - Net Debt input'!F295)</f>
        <v>6 YR SWAP: PAY 1D SONIA +159 bp GBP RCV 4.00000% GBP 43.0 M MAT: 08-JUN-2027</v>
      </c>
      <c r="F498" s="567"/>
      <c r="G498" s="567"/>
      <c r="H498" s="567"/>
      <c r="I498" s="568"/>
      <c r="L498" s="722"/>
      <c r="M498" s="496">
        <v>-0.8</v>
      </c>
      <c r="N498" s="496">
        <v>-0.38338517999999999</v>
      </c>
      <c r="O498" s="496">
        <v>-1.55902E-2</v>
      </c>
      <c r="P498" s="496">
        <v>-0.16196560999999998</v>
      </c>
      <c r="Q498" s="496">
        <v>-0.27847958</v>
      </c>
      <c r="R498" s="496">
        <v>-0.34513212999999998</v>
      </c>
      <c r="S498" s="496">
        <v>-6.9557859999999999E-2</v>
      </c>
      <c r="T498" s="496">
        <v>0</v>
      </c>
      <c r="U498" s="496">
        <v>0</v>
      </c>
      <c r="V498" s="496">
        <v>0</v>
      </c>
    </row>
    <row r="499" spans="2:22" outlineLevel="1">
      <c r="B499" s="324" t="s">
        <v>706</v>
      </c>
      <c r="C499" s="554">
        <f>IF('R6a - Net Debt input'!D296 = "","",'R6a - Net Debt input'!D296)</f>
        <v>44321</v>
      </c>
      <c r="D499" s="569">
        <f>IF('R6a - Net Debt input'!E296 = "","",'R6a - Net Debt input'!E296)</f>
        <v>46546</v>
      </c>
      <c r="E499" s="567" t="str">
        <f>IF('R6a - Net Debt input'!F296 = "","",'R6a - Net Debt input'!F296)</f>
        <v>6 YR SWAP: PAY 1D SONIA +182 bp GBP RCV 4.00000% GBP 10.8 M MAT: 08-JUN-2027</v>
      </c>
      <c r="F499" s="567"/>
      <c r="G499" s="567"/>
      <c r="H499" s="567"/>
      <c r="I499" s="568"/>
      <c r="L499" s="722"/>
      <c r="M499" s="496">
        <v>-0.2</v>
      </c>
      <c r="N499" s="496">
        <v>-7.1467759999999991E-2</v>
      </c>
      <c r="O499" s="496">
        <v>2.061493E-2</v>
      </c>
      <c r="P499" s="496">
        <v>-1.6045899999999998E-2</v>
      </c>
      <c r="Q499" s="496">
        <v>-4.5174400000000003E-2</v>
      </c>
      <c r="R499" s="496">
        <v>-6.1837530000000002E-2</v>
      </c>
      <c r="S499" s="496">
        <v>-1.276826E-2</v>
      </c>
      <c r="T499" s="496">
        <v>0</v>
      </c>
      <c r="U499" s="496">
        <v>0</v>
      </c>
      <c r="V499" s="496">
        <v>0</v>
      </c>
    </row>
    <row r="500" spans="2:22" outlineLevel="1">
      <c r="B500" s="324" t="s">
        <v>707</v>
      </c>
      <c r="C500" s="554">
        <f>IF('R6a - Net Debt input'!D297 = "","",'R6a - Net Debt input'!D297)</f>
        <v>44321</v>
      </c>
      <c r="D500" s="569">
        <f>IF('R6a - Net Debt input'!E297 = "","",'R6a - Net Debt input'!E297)</f>
        <v>46546</v>
      </c>
      <c r="E500" s="567" t="str">
        <f>IF('R6a - Net Debt input'!F297 = "","",'R6a - Net Debt input'!F297)</f>
        <v>6 YR SWAP: PAY 1D SONIA +189 bp GBP RCV 4.00000% GBP 21.5 M MAT: 08-JUN-2027</v>
      </c>
      <c r="F500" s="567"/>
      <c r="G500" s="567"/>
      <c r="H500" s="567"/>
      <c r="I500" s="568"/>
      <c r="L500" s="722"/>
      <c r="M500" s="496">
        <v>-0.3</v>
      </c>
      <c r="N500" s="496">
        <v>-0.12895593999999999</v>
      </c>
      <c r="O500" s="496">
        <v>5.5286260000000004E-2</v>
      </c>
      <c r="P500" s="496">
        <v>-1.8073800000000001E-2</v>
      </c>
      <c r="Q500" s="496">
        <v>-7.6330789999999996E-2</v>
      </c>
      <c r="R500" s="496">
        <v>-0.10965707000000001</v>
      </c>
      <c r="S500" s="496">
        <v>-2.288654E-2</v>
      </c>
      <c r="T500" s="496">
        <v>0</v>
      </c>
      <c r="U500" s="496">
        <v>0</v>
      </c>
      <c r="V500" s="496">
        <v>0</v>
      </c>
    </row>
    <row r="501" spans="2:22" outlineLevel="1">
      <c r="B501" s="324" t="s">
        <v>708</v>
      </c>
      <c r="C501" s="554">
        <f>IF('R6a - Net Debt input'!D298 = "","",'R6a - Net Debt input'!D298)</f>
        <v>44321</v>
      </c>
      <c r="D501" s="569">
        <f>IF('R6a - Net Debt input'!E298 = "","",'R6a - Net Debt input'!E298)</f>
        <v>46281</v>
      </c>
      <c r="E501" s="567" t="str">
        <f>IF('R6a - Net Debt input'!F298 = "","",'R6a - Net Debt input'!F298)</f>
        <v>5 YR SWAP: RCV 1.37500% GBP PAY 1D SONIA +135 bp GBP 35.0 M MAT: 16-SEP-2026</v>
      </c>
      <c r="F501" s="567"/>
      <c r="G501" s="567"/>
      <c r="H501" s="567"/>
      <c r="I501" s="568"/>
      <c r="L501" s="722"/>
      <c r="M501" s="496">
        <v>0</v>
      </c>
      <c r="N501" s="496">
        <v>0.51971586000000003</v>
      </c>
      <c r="O501" s="496">
        <v>0.84087378000000002</v>
      </c>
      <c r="P501" s="496">
        <v>0.69655528</v>
      </c>
      <c r="Q501" s="496">
        <v>0.60243201000000002</v>
      </c>
      <c r="R501" s="496">
        <v>0.25769953000000001</v>
      </c>
      <c r="S501" s="496">
        <v>0</v>
      </c>
      <c r="T501" s="496">
        <v>0</v>
      </c>
      <c r="U501" s="496">
        <v>0</v>
      </c>
      <c r="V501" s="496">
        <v>0</v>
      </c>
    </row>
    <row r="502" spans="2:22" outlineLevel="1">
      <c r="B502" s="324" t="s">
        <v>709</v>
      </c>
      <c r="C502" s="554">
        <f>IF('R6a - Net Debt input'!D299 = "","",'R6a - Net Debt input'!D299)</f>
        <v>44321</v>
      </c>
      <c r="D502" s="569">
        <f>IF('R6a - Net Debt input'!E299 = "","",'R6a - Net Debt input'!E299)</f>
        <v>46281</v>
      </c>
      <c r="E502" s="567" t="str">
        <f>IF('R6a - Net Debt input'!F299 = "","",'R6a - Net Debt input'!F299)</f>
        <v>5 YR SWAP: RCV 1.37500% GBP PAY 1D SONIA +135 bp GBP 35.0 M MAT: 16-SEP-2026</v>
      </c>
      <c r="F502" s="567"/>
      <c r="G502" s="567"/>
      <c r="H502" s="567"/>
      <c r="I502" s="568"/>
      <c r="L502" s="722"/>
      <c r="M502" s="496">
        <v>0</v>
      </c>
      <c r="N502" s="496">
        <v>0.52132146000000001</v>
      </c>
      <c r="O502" s="496">
        <v>0.84248818999999997</v>
      </c>
      <c r="P502" s="496">
        <v>0.69816528</v>
      </c>
      <c r="Q502" s="496">
        <v>0.60404202000000007</v>
      </c>
      <c r="R502" s="496">
        <v>0.25844498999999999</v>
      </c>
      <c r="S502" s="496">
        <v>0</v>
      </c>
      <c r="T502" s="496">
        <v>0</v>
      </c>
      <c r="U502" s="496">
        <v>0</v>
      </c>
      <c r="V502" s="496">
        <v>0</v>
      </c>
    </row>
    <row r="503" spans="2:22" outlineLevel="1">
      <c r="B503" s="324" t="s">
        <v>710</v>
      </c>
      <c r="C503" s="554">
        <f>IF('R6a - Net Debt input'!D300 = "","",'R6a - Net Debt input'!D300)</f>
        <v>44358</v>
      </c>
      <c r="D503" s="569">
        <f>IF('R6a - Net Debt input'!E300 = "","",'R6a - Net Debt input'!E300)</f>
        <v>50664</v>
      </c>
      <c r="E503" s="567" t="str">
        <f>IF('R6a - Net Debt input'!F300 = "","",'R6a - Net Debt input'!F300)</f>
        <v>17 YR SWAP: RCV 2.00000% GBP PAY 1D SONIA +147 bp GBP 30.0 M MAT: 16-SEP-2038</v>
      </c>
      <c r="F503" s="567"/>
      <c r="G503" s="567"/>
      <c r="H503" s="567"/>
      <c r="I503" s="568"/>
      <c r="L503" s="722"/>
      <c r="M503" s="496">
        <v>-0.1</v>
      </c>
      <c r="N503" s="496">
        <v>0.29525342999999998</v>
      </c>
      <c r="O503" s="496">
        <v>0.56991347999999997</v>
      </c>
      <c r="P503" s="496">
        <v>0.44679346000000003</v>
      </c>
      <c r="Q503" s="496">
        <v>0.36567071000000001</v>
      </c>
      <c r="R503" s="496">
        <v>0.32208017</v>
      </c>
      <c r="S503" s="496">
        <v>0.27879725999999999</v>
      </c>
      <c r="T503" s="496">
        <v>0.24897263</v>
      </c>
      <c r="U503" s="496">
        <v>0.25281966</v>
      </c>
      <c r="V503" s="496">
        <v>0.26273145000000003</v>
      </c>
    </row>
    <row r="504" spans="2:22" outlineLevel="1">
      <c r="B504" s="324" t="s">
        <v>711</v>
      </c>
      <c r="C504" s="554">
        <f>IF('R6a - Net Debt input'!D301 = "","",'R6a - Net Debt input'!D301)</f>
        <v>44358</v>
      </c>
      <c r="D504" s="569">
        <f>IF('R6a - Net Debt input'!E301 = "","",'R6a - Net Debt input'!E301)</f>
        <v>50664</v>
      </c>
      <c r="E504" s="567" t="str">
        <f>IF('R6a - Net Debt input'!F301 = "","",'R6a - Net Debt input'!F301)</f>
        <v>17 YR SWAP: RCV 2.00000% GBP PAY 1D SONIA +124 bp GBP 30.0 M MAT: 16-SEP-2038</v>
      </c>
      <c r="F504" s="567"/>
      <c r="G504" s="567"/>
      <c r="H504" s="567"/>
      <c r="I504" s="568"/>
      <c r="L504" s="722"/>
      <c r="M504" s="496">
        <v>-0.1</v>
      </c>
      <c r="N504" s="496">
        <v>0.22593385999999999</v>
      </c>
      <c r="O504" s="496">
        <v>0.50021304999999994</v>
      </c>
      <c r="P504" s="496">
        <v>0.37728346000000001</v>
      </c>
      <c r="Q504" s="496">
        <v>0.29616070999999999</v>
      </c>
      <c r="R504" s="496">
        <v>0.25257015999999999</v>
      </c>
      <c r="S504" s="496">
        <v>0.20909682000000002</v>
      </c>
      <c r="T504" s="496">
        <v>0.17946263000000001</v>
      </c>
      <c r="U504" s="496">
        <v>0.18330966000000001</v>
      </c>
      <c r="V504" s="496">
        <v>0.19322145000000002</v>
      </c>
    </row>
    <row r="505" spans="2:22" outlineLevel="1">
      <c r="B505" s="324" t="s">
        <v>712</v>
      </c>
      <c r="C505" s="554">
        <f>IF('R6a - Net Debt input'!D302 = "","",'R6a - Net Debt input'!D302)</f>
        <v>44358</v>
      </c>
      <c r="D505" s="569">
        <f>IF('R6a - Net Debt input'!E302 = "","",'R6a - Net Debt input'!E302)</f>
        <v>50664</v>
      </c>
      <c r="E505" s="567" t="str">
        <f>IF('R6a - Net Debt input'!F302 = "","",'R6a - Net Debt input'!F302)</f>
        <v>17 YR SWAP: RCV 2.00000% GBP PAY 1D SONIA +160 bp GBP 25.0 M MAT: 16-SEP-2038</v>
      </c>
      <c r="F505" s="567"/>
      <c r="G505" s="567"/>
      <c r="H505" s="567"/>
      <c r="I505" s="568"/>
      <c r="L505" s="722"/>
      <c r="M505" s="496">
        <v>0</v>
      </c>
      <c r="N505" s="496">
        <v>0.27890423999999997</v>
      </c>
      <c r="O505" s="496">
        <v>0.50796816999999994</v>
      </c>
      <c r="P505" s="496">
        <v>0.40527787999999998</v>
      </c>
      <c r="Q505" s="496">
        <v>0.33767558000000003</v>
      </c>
      <c r="R505" s="496">
        <v>0.30135013999999999</v>
      </c>
      <c r="S505" s="496">
        <v>0.26537132000000002</v>
      </c>
      <c r="T505" s="496">
        <v>0.24042720000000001</v>
      </c>
      <c r="U505" s="496">
        <v>0.24363305999999998</v>
      </c>
      <c r="V505" s="496">
        <v>0.25189286999999999</v>
      </c>
    </row>
    <row r="506" spans="2:22" outlineLevel="1">
      <c r="B506" s="324" t="s">
        <v>713</v>
      </c>
      <c r="C506" s="554">
        <f>IF('R6a - Net Debt input'!D303 = "","",'R6a - Net Debt input'!D303)</f>
        <v>44358</v>
      </c>
      <c r="D506" s="569">
        <f>IF('R6a - Net Debt input'!E303 = "","",'R6a - Net Debt input'!E303)</f>
        <v>50664</v>
      </c>
      <c r="E506" s="567" t="str">
        <f>IF('R6a - Net Debt input'!F303 = "","",'R6a - Net Debt input'!F303)</f>
        <v>17 YR SWAP: RCV 2.00000% GBP PAY 1D SONIA +160 bp GBP 25.0 M MAT: 16-SEP-2038</v>
      </c>
      <c r="F506" s="567"/>
      <c r="G506" s="567"/>
      <c r="H506" s="567"/>
      <c r="I506" s="568"/>
      <c r="L506" s="722"/>
      <c r="M506" s="496">
        <v>0</v>
      </c>
      <c r="N506" s="496">
        <v>0.27833083000000003</v>
      </c>
      <c r="O506" s="496">
        <v>0.50739159999999994</v>
      </c>
      <c r="P506" s="496">
        <v>0.40470287999999999</v>
      </c>
      <c r="Q506" s="496">
        <v>0.33710059000000003</v>
      </c>
      <c r="R506" s="496">
        <v>0.30077514</v>
      </c>
      <c r="S506" s="496">
        <v>0.26479475000000002</v>
      </c>
      <c r="T506" s="496">
        <v>0.23985220000000002</v>
      </c>
      <c r="U506" s="496">
        <v>0.24305805999999999</v>
      </c>
      <c r="V506" s="496">
        <v>0.25131787</v>
      </c>
    </row>
    <row r="507" spans="2:22" outlineLevel="1">
      <c r="B507" s="324" t="s">
        <v>714</v>
      </c>
      <c r="C507" s="554">
        <f>IF('R6a - Net Debt input'!D304 = "","",'R6a - Net Debt input'!D304)</f>
        <v>44379</v>
      </c>
      <c r="D507" s="569">
        <f>IF('R6a - Net Debt input'!E304 = "","",'R6a - Net Debt input'!E304)</f>
        <v>45324</v>
      </c>
      <c r="E507" s="567" t="str">
        <f>IF('R6a - Net Debt input'!F304 = "","",'R6a - Net Debt input'!F304)</f>
        <v>2.5 YR SWAP: PAY 1D SONIA +141 bp GBP RCV 5.87500% GBP 20.0 M MAT: 02-FEB-2024</v>
      </c>
      <c r="F507" s="567"/>
      <c r="G507" s="567"/>
      <c r="H507" s="567"/>
      <c r="I507" s="568"/>
      <c r="L507" s="722"/>
      <c r="M507" s="496">
        <v>-1.2</v>
      </c>
      <c r="N507" s="496">
        <v>-0.59650466000000002</v>
      </c>
      <c r="O507" s="496">
        <v>-0.33278068999999999</v>
      </c>
      <c r="P507" s="496">
        <v>0</v>
      </c>
      <c r="Q507" s="496">
        <v>0</v>
      </c>
      <c r="R507" s="496">
        <v>0</v>
      </c>
      <c r="S507" s="496">
        <v>0</v>
      </c>
      <c r="T507" s="496">
        <v>0</v>
      </c>
      <c r="U507" s="496">
        <v>0</v>
      </c>
      <c r="V507" s="496">
        <v>0</v>
      </c>
    </row>
    <row r="508" spans="2:22" outlineLevel="1">
      <c r="B508" s="324" t="s">
        <v>715</v>
      </c>
      <c r="C508" s="554">
        <f>IF('R6a - Net Debt input'!D305 = "","",'R6a - Net Debt input'!D305)</f>
        <v>44379</v>
      </c>
      <c r="D508" s="569">
        <f>IF('R6a - Net Debt input'!E305 = "","",'R6a - Net Debt input'!E305)</f>
        <v>45324</v>
      </c>
      <c r="E508" s="567" t="str">
        <f>IF('R6a - Net Debt input'!F305 = "","",'R6a - Net Debt input'!F305)</f>
        <v>2.5 YR SWAP: PAY 1D SONIA +196 bp GBP RCV 5.87500% GBP 75.0 M MAT: 02-FEB-2024</v>
      </c>
      <c r="F508" s="567"/>
      <c r="G508" s="567"/>
      <c r="H508" s="567"/>
      <c r="I508" s="568"/>
      <c r="L508" s="722"/>
      <c r="M508" s="496">
        <v>-4.0999999999999996</v>
      </c>
      <c r="N508" s="496">
        <v>-1.82499905</v>
      </c>
      <c r="O508" s="496">
        <v>-0.89940239</v>
      </c>
      <c r="P508" s="496">
        <v>0</v>
      </c>
      <c r="Q508" s="496">
        <v>0</v>
      </c>
      <c r="R508" s="496">
        <v>0</v>
      </c>
      <c r="S508" s="496">
        <v>0</v>
      </c>
      <c r="T508" s="496">
        <v>0</v>
      </c>
      <c r="U508" s="496">
        <v>0</v>
      </c>
      <c r="V508" s="496">
        <v>0</v>
      </c>
    </row>
    <row r="509" spans="2:22" outlineLevel="1">
      <c r="B509" s="324" t="s">
        <v>716</v>
      </c>
      <c r="C509" s="554">
        <f>IF('R6a - Net Debt input'!D306 = "","",'R6a - Net Debt input'!D306)</f>
        <v>44379</v>
      </c>
      <c r="D509" s="569">
        <f>IF('R6a - Net Debt input'!E306 = "","",'R6a - Net Debt input'!E306)</f>
        <v>45324</v>
      </c>
      <c r="E509" s="567" t="str">
        <f>IF('R6a - Net Debt input'!F306 = "","",'R6a - Net Debt input'!F306)</f>
        <v>3 YR SWAP: PAY 5.87500% GBP RCV 1D SONIA +199 bp GBP 40.0 M MAT: 02-FEB-2024</v>
      </c>
      <c r="F509" s="567"/>
      <c r="G509" s="567"/>
      <c r="H509" s="567"/>
      <c r="I509" s="568"/>
      <c r="L509" s="722"/>
      <c r="M509" s="496">
        <v>2.2000000000000002</v>
      </c>
      <c r="N509" s="496">
        <v>0.96044821999999996</v>
      </c>
      <c r="O509" s="496">
        <v>0.46877891999999999</v>
      </c>
      <c r="P509" s="496">
        <v>0</v>
      </c>
      <c r="Q509" s="496">
        <v>0</v>
      </c>
      <c r="R509" s="496">
        <v>0</v>
      </c>
      <c r="S509" s="496">
        <v>0</v>
      </c>
      <c r="T509" s="496">
        <v>0</v>
      </c>
      <c r="U509" s="496">
        <v>0</v>
      </c>
      <c r="V509" s="496">
        <v>0</v>
      </c>
    </row>
    <row r="510" spans="2:22" outlineLevel="1">
      <c r="B510" s="324" t="s">
        <v>717</v>
      </c>
      <c r="C510" s="554">
        <f>IF('R6a - Net Debt input'!D307 = "","",'R6a - Net Debt input'!D307)</f>
        <v>44379</v>
      </c>
      <c r="D510" s="569">
        <f>IF('R6a - Net Debt input'!E307 = "","",'R6a - Net Debt input'!E307)</f>
        <v>45324</v>
      </c>
      <c r="E510" s="567" t="str">
        <f>IF('R6a - Net Debt input'!F307 = "","",'R6a - Net Debt input'!F307)</f>
        <v>2.5 YR SWAP: PAY 1D SONIA +268 bp GBP RCV 5.87500% GBP 28.0 M MAT: 02-FEB-2024</v>
      </c>
      <c r="F510" s="567"/>
      <c r="G510" s="567"/>
      <c r="H510" s="567"/>
      <c r="I510" s="568"/>
      <c r="L510" s="722"/>
      <c r="M510" s="496">
        <v>-1.4</v>
      </c>
      <c r="N510" s="496">
        <v>-0.48117884999999999</v>
      </c>
      <c r="O510" s="496">
        <v>-0.16641570999999999</v>
      </c>
      <c r="P510" s="496">
        <v>0</v>
      </c>
      <c r="Q510" s="496">
        <v>0</v>
      </c>
      <c r="R510" s="496">
        <v>0</v>
      </c>
      <c r="S510" s="496">
        <v>0</v>
      </c>
      <c r="T510" s="496">
        <v>0</v>
      </c>
      <c r="U510" s="496">
        <v>0</v>
      </c>
      <c r="V510" s="496">
        <v>0</v>
      </c>
    </row>
    <row r="511" spans="2:22" outlineLevel="1">
      <c r="B511" s="324" t="s">
        <v>718</v>
      </c>
      <c r="C511" s="554">
        <f>IF('R6a - Net Debt input'!D308 = "","",'R6a - Net Debt input'!D308)</f>
        <v>44545</v>
      </c>
      <c r="D511" s="569">
        <f>IF('R6a - Net Debt input'!E308 = "","",'R6a - Net Debt input'!E308)</f>
        <v>46362</v>
      </c>
      <c r="E511" s="567" t="str">
        <f>IF('R6a - Net Debt input'!F308 = "","",'R6a - Net Debt input'!F308)</f>
        <v>4.5 YR SWAP: PAY 2.07600% GBP RCV 1D SONIA +100 bp GBP 100.0 M MAT: 06-DEC-2026</v>
      </c>
      <c r="F511" s="567"/>
      <c r="G511" s="567"/>
      <c r="H511" s="567"/>
      <c r="I511" s="568"/>
      <c r="L511" s="722"/>
      <c r="M511" s="496">
        <v>0</v>
      </c>
      <c r="N511" s="496">
        <v>-0.54896356000000002</v>
      </c>
      <c r="O511" s="496">
        <v>-1.29354602</v>
      </c>
      <c r="P511" s="496">
        <v>-0.95200931000000011</v>
      </c>
      <c r="Q511" s="496">
        <v>-0.68697863000000003</v>
      </c>
      <c r="R511" s="496">
        <v>-0.38183863000000001</v>
      </c>
      <c r="S511" s="496">
        <v>0</v>
      </c>
      <c r="T511" s="496">
        <v>0</v>
      </c>
      <c r="U511" s="496">
        <v>0</v>
      </c>
      <c r="V511" s="496">
        <v>0</v>
      </c>
    </row>
    <row r="512" spans="2:22" outlineLevel="1">
      <c r="B512" s="324" t="s">
        <v>719</v>
      </c>
      <c r="C512" s="554">
        <f>IF('R6a - Net Debt input'!D309 = "","",'R6a - Net Debt input'!D309)</f>
        <v>44545</v>
      </c>
      <c r="D512" s="569">
        <f>IF('R6a - Net Debt input'!E309 = "","",'R6a - Net Debt input'!E309)</f>
        <v>46961</v>
      </c>
      <c r="E512" s="567" t="str">
        <f>IF('R6a - Net Debt input'!F309 = "","",'R6a - Net Debt input'!F309)</f>
        <v>7 YR SWAP: RCV 1.04450% GBP PAY 1D SONIA +104 bp GBP 100.0 M MAT: 27-JUL-2028</v>
      </c>
      <c r="F512" s="567"/>
      <c r="G512" s="567"/>
      <c r="H512" s="567"/>
      <c r="I512" s="568"/>
      <c r="L512" s="722"/>
      <c r="M512" s="496">
        <v>-0.5</v>
      </c>
      <c r="N512" s="496">
        <v>1.4661424699999999</v>
      </c>
      <c r="O512" s="496">
        <v>2.4063823199999996</v>
      </c>
      <c r="P512" s="496">
        <v>2.02028411</v>
      </c>
      <c r="Q512" s="496">
        <v>1.75315632</v>
      </c>
      <c r="R512" s="496">
        <v>1.5974912299999999</v>
      </c>
      <c r="S512" s="496">
        <v>1.4582124599999999</v>
      </c>
      <c r="T512" s="496">
        <v>0.44852426000000001</v>
      </c>
      <c r="U512" s="496">
        <v>0</v>
      </c>
      <c r="V512" s="496">
        <v>0</v>
      </c>
    </row>
    <row r="513" spans="2:22" outlineLevel="1">
      <c r="B513" s="324" t="s">
        <v>720</v>
      </c>
      <c r="C513" s="554">
        <f>IF('R6a - Net Debt input'!D310 = "","",'R6a - Net Debt input'!D310)</f>
        <v>44379</v>
      </c>
      <c r="D513" s="569">
        <f>IF('R6a - Net Debt input'!E310 = "","",'R6a - Net Debt input'!E310)</f>
        <v>46961</v>
      </c>
      <c r="E513" s="567" t="str">
        <f>IF('R6a - Net Debt input'!F310 = "","",'R6a - Net Debt input'!F310)</f>
        <v>7 YR SWAP: PAY 1D SONIA +184 bp GBP RCV 6.50000% GBP 15.0 M MAT: 27-JUL-2028</v>
      </c>
      <c r="F513" s="567"/>
      <c r="G513" s="567"/>
      <c r="H513" s="567"/>
      <c r="I513" s="568"/>
      <c r="L513" s="722"/>
      <c r="M513" s="496">
        <v>-0.5</v>
      </c>
      <c r="N513" s="496">
        <v>-0.47698404999999999</v>
      </c>
      <c r="O513" s="496">
        <v>-0.33856974000000001</v>
      </c>
      <c r="P513" s="496">
        <v>-0.39442961999999998</v>
      </c>
      <c r="Q513" s="496">
        <v>-0.43615982000000003</v>
      </c>
      <c r="R513" s="496">
        <v>-0.45919631</v>
      </c>
      <c r="S513" s="496">
        <v>-0.48079521999999997</v>
      </c>
      <c r="T513" s="496">
        <v>-0.15760676000000001</v>
      </c>
      <c r="U513" s="496">
        <v>0</v>
      </c>
      <c r="V513" s="496">
        <v>0</v>
      </c>
    </row>
    <row r="514" spans="2:22" outlineLevel="1">
      <c r="B514" s="324" t="s">
        <v>721</v>
      </c>
      <c r="C514" s="554">
        <f>IF('R6a - Net Debt input'!D311 = "","",'R6a - Net Debt input'!D311)</f>
        <v>44379</v>
      </c>
      <c r="D514" s="569">
        <f>IF('R6a - Net Debt input'!E311 = "","",'R6a - Net Debt input'!E311)</f>
        <v>46961</v>
      </c>
      <c r="E514" s="567" t="str">
        <f>IF('R6a - Net Debt input'!F311 = "","",'R6a - Net Debt input'!F311)</f>
        <v>7 YR SWAP: PAY 1D SONIA +217 bp GBP RCV 6.50000% GBP 14.0 M MAT: 27-JUL-2028</v>
      </c>
      <c r="F514" s="567"/>
      <c r="G514" s="567"/>
      <c r="H514" s="567"/>
      <c r="I514" s="568"/>
      <c r="L514" s="722"/>
      <c r="M514" s="496">
        <v>-0.4</v>
      </c>
      <c r="N514" s="496">
        <v>-0.39904189000000001</v>
      </c>
      <c r="O514" s="496">
        <v>-0.26960165999999997</v>
      </c>
      <c r="P514" s="496">
        <v>-0.32186430999999999</v>
      </c>
      <c r="Q514" s="496">
        <v>-0.36081248999999999</v>
      </c>
      <c r="R514" s="496">
        <v>-0.38231323</v>
      </c>
      <c r="S514" s="496">
        <v>-0.40234544</v>
      </c>
      <c r="T514" s="496">
        <v>-0.13214112</v>
      </c>
      <c r="U514" s="496">
        <v>0</v>
      </c>
      <c r="V514" s="496">
        <v>0</v>
      </c>
    </row>
    <row r="515" spans="2:22" outlineLevel="1">
      <c r="B515" s="324" t="s">
        <v>722</v>
      </c>
      <c r="C515" s="554">
        <f>IF('R6a - Net Debt input'!D312 = "","",'R6a - Net Debt input'!D312)</f>
        <v>44379</v>
      </c>
      <c r="D515" s="569">
        <f>IF('R6a - Net Debt input'!E312 = "","",'R6a - Net Debt input'!E312)</f>
        <v>46961</v>
      </c>
      <c r="E515" s="567" t="str">
        <f>IF('R6a - Net Debt input'!F312 = "","",'R6a - Net Debt input'!F312)</f>
        <v>7 YR SWAP: PAY 1D SONIA +252 bp GBP RCV 6.50000% GBP 65.0 M MAT: 27-JUL-2028</v>
      </c>
      <c r="F515" s="567"/>
      <c r="G515" s="567"/>
      <c r="H515" s="567"/>
      <c r="I515" s="568"/>
      <c r="L515" s="722"/>
      <c r="M515" s="496">
        <v>-1.7</v>
      </c>
      <c r="N515" s="496">
        <v>-1.6225766499999998</v>
      </c>
      <c r="O515" s="496">
        <v>-1.02033978</v>
      </c>
      <c r="P515" s="496">
        <v>-1.26362003</v>
      </c>
      <c r="Q515" s="496">
        <v>-1.4444508700000001</v>
      </c>
      <c r="R515" s="496">
        <v>-1.5442756899999999</v>
      </c>
      <c r="S515" s="496">
        <v>-1.6366501899999999</v>
      </c>
      <c r="T515" s="496">
        <v>-0.53891369999999994</v>
      </c>
      <c r="U515" s="496">
        <v>0</v>
      </c>
      <c r="V515" s="496">
        <v>0</v>
      </c>
    </row>
    <row r="516" spans="2:22" outlineLevel="1">
      <c r="B516" s="324" t="s">
        <v>723</v>
      </c>
      <c r="C516" s="554">
        <f>IF('R6a - Net Debt input'!D313 = "","",'R6a - Net Debt input'!D313)</f>
        <v>44379</v>
      </c>
      <c r="D516" s="569">
        <f>IF('R6a - Net Debt input'!E313 = "","",'R6a - Net Debt input'!E313)</f>
        <v>46961</v>
      </c>
      <c r="E516" s="567" t="str">
        <f>IF('R6a - Net Debt input'!F313 = "","",'R6a - Net Debt input'!F313)</f>
        <v>7 YR SWAP: PAY 1D SONIA +254 bp GBP RCV 6.50000% GBP 40.0 M MAT: 27-JUL-2028</v>
      </c>
      <c r="F516" s="567"/>
      <c r="G516" s="567"/>
      <c r="H516" s="567"/>
      <c r="I516" s="568"/>
      <c r="L516" s="722"/>
      <c r="M516" s="496">
        <v>-1</v>
      </c>
      <c r="N516" s="496">
        <v>-0.99112898999999999</v>
      </c>
      <c r="O516" s="496">
        <v>-0.62048113000000005</v>
      </c>
      <c r="P516" s="496">
        <v>-0.77021233</v>
      </c>
      <c r="Q516" s="496">
        <v>-0.88149284999999999</v>
      </c>
      <c r="R516" s="496">
        <v>-0.94292350000000003</v>
      </c>
      <c r="S516" s="496">
        <v>-0.99974906999999991</v>
      </c>
      <c r="T516" s="496">
        <v>-0.32924686999999997</v>
      </c>
      <c r="U516" s="496">
        <v>0</v>
      </c>
      <c r="V516" s="496">
        <v>0</v>
      </c>
    </row>
    <row r="517" spans="2:22" outlineLevel="1">
      <c r="B517" s="324" t="s">
        <v>724</v>
      </c>
      <c r="C517" s="554">
        <f>IF('R6a - Net Debt input'!D314 = "","",'R6a - Net Debt input'!D314)</f>
        <v>44379</v>
      </c>
      <c r="D517" s="569">
        <f>IF('R6a - Net Debt input'!E314 = "","",'R6a - Net Debt input'!E314)</f>
        <v>46961</v>
      </c>
      <c r="E517" s="567" t="str">
        <f>IF('R6a - Net Debt input'!F314 = "","",'R6a - Net Debt input'!F314)</f>
        <v>7 YR SWAP: PAY 6.50000% GBP RCV 1D SONIA +252 bp GBP 91.0 M MAT: 27-JUL-2028</v>
      </c>
      <c r="F517" s="567"/>
      <c r="G517" s="567"/>
      <c r="H517" s="567"/>
      <c r="I517" s="568"/>
      <c r="L517" s="722"/>
      <c r="M517" s="496">
        <v>2.4</v>
      </c>
      <c r="N517" s="496">
        <v>2.2732408300000002</v>
      </c>
      <c r="O517" s="496">
        <v>1.43011818</v>
      </c>
      <c r="P517" s="496">
        <v>1.7707060400000001</v>
      </c>
      <c r="Q517" s="496">
        <v>2.0238692299999999</v>
      </c>
      <c r="R517" s="496">
        <v>2.1636239900000001</v>
      </c>
      <c r="S517" s="496">
        <v>2.2929527599999999</v>
      </c>
      <c r="T517" s="496">
        <v>0.75500873000000002</v>
      </c>
      <c r="U517" s="496">
        <v>0</v>
      </c>
      <c r="V517" s="496">
        <v>0</v>
      </c>
    </row>
    <row r="518" spans="2:22" outlineLevel="1">
      <c r="B518" s="324" t="s">
        <v>725</v>
      </c>
      <c r="C518" s="554">
        <f>IF('R6a - Net Debt input'!D315 = "","",'R6a - Net Debt input'!D315)</f>
        <v>44379</v>
      </c>
      <c r="D518" s="569">
        <f>IF('R6a - Net Debt input'!E315 = "","",'R6a - Net Debt input'!E315)</f>
        <v>49369</v>
      </c>
      <c r="E518" s="567" t="str">
        <f>IF('R6a - Net Debt input'!F315 = "","",'R6a - Net Debt input'!F315)</f>
        <v>13.5 YR SWAP: PAY 1D SONIA +50 bp GBP RCV 5.00000% GBP 40.0 M MAT: 01-MAR-2035</v>
      </c>
      <c r="F518" s="567"/>
      <c r="G518" s="567"/>
      <c r="H518" s="567"/>
      <c r="I518" s="568"/>
      <c r="L518" s="722"/>
      <c r="M518" s="496">
        <v>-2</v>
      </c>
      <c r="N518" s="496">
        <v>-1.2034236599999999</v>
      </c>
      <c r="O518" s="496">
        <v>-0.82697206000000001</v>
      </c>
      <c r="P518" s="496">
        <v>-0.99228657999999992</v>
      </c>
      <c r="Q518" s="496">
        <v>-1.0993923300000001</v>
      </c>
      <c r="R518" s="496">
        <v>-1.15919803</v>
      </c>
      <c r="S518" s="496">
        <v>-1.21649732</v>
      </c>
      <c r="T518" s="496">
        <v>-1.2570188500000001</v>
      </c>
      <c r="U518" s="496">
        <v>-1.2512881100000002</v>
      </c>
      <c r="V518" s="496">
        <v>-1.2381358899999999</v>
      </c>
    </row>
    <row r="519" spans="2:22" outlineLevel="1">
      <c r="B519" s="324" t="s">
        <v>726</v>
      </c>
      <c r="C519" s="554">
        <f>IF('R6a - Net Debt input'!D316 = "","",'R6a - Net Debt input'!D316)</f>
        <v>44379</v>
      </c>
      <c r="D519" s="569">
        <f>IF('R6a - Net Debt input'!E316 = "","",'R6a - Net Debt input'!E316)</f>
        <v>49369</v>
      </c>
      <c r="E519" s="567" t="str">
        <f>IF('R6a - Net Debt input'!F316 = "","",'R6a - Net Debt input'!F316)</f>
        <v>13.5 YR SWAP: PAY 1D SONIA +114 bp GBP RCV 5.00000% GBP 20.0 M MAT: 01-MAR-2035</v>
      </c>
      <c r="F519" s="567"/>
      <c r="G519" s="567"/>
      <c r="H519" s="567"/>
      <c r="I519" s="568"/>
      <c r="L519" s="722"/>
      <c r="M519" s="496">
        <v>-0.9</v>
      </c>
      <c r="N519" s="496">
        <v>-0.47342427000000004</v>
      </c>
      <c r="O519" s="496">
        <v>-0.28449359000000002</v>
      </c>
      <c r="P519" s="496">
        <v>-0.36750328000000004</v>
      </c>
      <c r="Q519" s="496">
        <v>-0.42105617000000001</v>
      </c>
      <c r="R519" s="496">
        <v>-0.45095900999999999</v>
      </c>
      <c r="S519" s="496">
        <v>-0.47925621999999996</v>
      </c>
      <c r="T519" s="496">
        <v>-0.49986942000000001</v>
      </c>
      <c r="U519" s="496">
        <v>-0.49700404999999998</v>
      </c>
      <c r="V519" s="496">
        <v>-0.49042795</v>
      </c>
    </row>
    <row r="520" spans="2:22" outlineLevel="1">
      <c r="B520" s="324" t="s">
        <v>727</v>
      </c>
      <c r="C520" s="554">
        <f>IF('R6a - Net Debt input'!D317 = "","",'R6a - Net Debt input'!D317)</f>
        <v>44379</v>
      </c>
      <c r="D520" s="569">
        <f>IF('R6a - Net Debt input'!E317 = "","",'R6a - Net Debt input'!E317)</f>
        <v>49369</v>
      </c>
      <c r="E520" s="567" t="str">
        <f>IF('R6a - Net Debt input'!F317 = "","",'R6a - Net Debt input'!F317)</f>
        <v>14 YR SWAP: PAY 5.00000% GBP RCV 1D SONIA +121 bp GBP 40.0 M MAT: 01-MAR-2035</v>
      </c>
      <c r="F520" s="567"/>
      <c r="G520" s="567"/>
      <c r="H520" s="567"/>
      <c r="I520" s="568"/>
      <c r="L520" s="722"/>
      <c r="M520" s="496">
        <v>1.8</v>
      </c>
      <c r="N520" s="496">
        <v>0.91960339000000002</v>
      </c>
      <c r="O520" s="496">
        <v>0.54159232999999996</v>
      </c>
      <c r="P520" s="496">
        <v>0.7076865699999999</v>
      </c>
      <c r="Q520" s="496">
        <v>0.81479232999999995</v>
      </c>
      <c r="R520" s="496">
        <v>0.87459801999999998</v>
      </c>
      <c r="S520" s="496">
        <v>0.93111758999999994</v>
      </c>
      <c r="T520" s="496">
        <v>0.97241884999999995</v>
      </c>
      <c r="U520" s="496">
        <v>0.96668812000000004</v>
      </c>
      <c r="V520" s="496">
        <v>0.95353589000000005</v>
      </c>
    </row>
    <row r="521" spans="2:22" outlineLevel="1">
      <c r="B521" s="324" t="s">
        <v>728</v>
      </c>
      <c r="C521" s="554">
        <f>IF('R6a - Net Debt input'!D318 = "","",'R6a - Net Debt input'!D318)</f>
        <v>44379</v>
      </c>
      <c r="D521" s="569">
        <f>IF('R6a - Net Debt input'!E318 = "","",'R6a - Net Debt input'!E318)</f>
        <v>49369</v>
      </c>
      <c r="E521" s="567" t="str">
        <f>IF('R6a - Net Debt input'!F318 = "","",'R6a - Net Debt input'!F318)</f>
        <v>14 YR SWAP: PAY 5.00000% GBP RCV 1D SONIA +99 bp GBP 7.0 M MAT: 01-MAR-2035</v>
      </c>
      <c r="F521" s="567"/>
      <c r="G521" s="567"/>
      <c r="H521" s="567"/>
      <c r="I521" s="568"/>
      <c r="L521" s="722"/>
      <c r="M521" s="496">
        <v>0.3</v>
      </c>
      <c r="N521" s="496">
        <v>0.17627445</v>
      </c>
      <c r="O521" s="496">
        <v>0.11020681</v>
      </c>
      <c r="P521" s="496">
        <v>0.13923115</v>
      </c>
      <c r="Q521" s="496">
        <v>0.15797466000000002</v>
      </c>
      <c r="R521" s="496">
        <v>0.16844065</v>
      </c>
      <c r="S521" s="496">
        <v>0.17837372000000001</v>
      </c>
      <c r="T521" s="496">
        <v>0.18555929999999998</v>
      </c>
      <c r="U521" s="496">
        <v>0.18455641</v>
      </c>
      <c r="V521" s="496">
        <v>0.18225476999999998</v>
      </c>
    </row>
    <row r="522" spans="2:22" outlineLevel="1">
      <c r="B522" s="324" t="s">
        <v>729</v>
      </c>
      <c r="C522" s="554">
        <f>IF('R6a - Net Debt input'!D319 = "","",'R6a - Net Debt input'!D319)</f>
        <v>44386</v>
      </c>
      <c r="D522" s="569">
        <f>IF('R6a - Net Debt input'!E319 = "","",'R6a - Net Debt input'!E319)</f>
        <v>47861</v>
      </c>
      <c r="E522" s="567" t="str">
        <f>IF('R6a - Net Debt input'!F319 = "","",'R6a - Net Debt input'!F319)</f>
        <v>9.5 YR SWAP: PAY 1D SONIA +364 bp GBP RCV 7.37500% GBP 40.0 M MAT: 13-JAN-2031</v>
      </c>
      <c r="F522" s="567"/>
      <c r="G522" s="567"/>
      <c r="H522" s="567"/>
      <c r="I522" s="568"/>
      <c r="L522" s="722"/>
      <c r="M522" s="496">
        <v>-2.5</v>
      </c>
      <c r="N522" s="496">
        <v>-0.89976758000000001</v>
      </c>
      <c r="O522" s="496">
        <v>-0.53768365000000007</v>
      </c>
      <c r="P522" s="496">
        <v>-0.67815765000000006</v>
      </c>
      <c r="Q522" s="496">
        <v>-0.79044011000000003</v>
      </c>
      <c r="R522" s="496">
        <v>-0.85333349999999997</v>
      </c>
      <c r="S522" s="496">
        <v>-0.91167138000000003</v>
      </c>
      <c r="T522" s="496">
        <v>-0.94185034999999995</v>
      </c>
      <c r="U522" s="496">
        <v>-0.94463232999999991</v>
      </c>
      <c r="V522" s="496">
        <v>-0.73702246999999999</v>
      </c>
    </row>
    <row r="523" spans="2:22" outlineLevel="1">
      <c r="B523" s="324" t="s">
        <v>730</v>
      </c>
      <c r="C523" s="554">
        <f>IF('R6a - Net Debt input'!D320 = "","",'R6a - Net Debt input'!D320)</f>
        <v>44386</v>
      </c>
      <c r="D523" s="569">
        <f>IF('R6a - Net Debt input'!E320 = "","",'R6a - Net Debt input'!E320)</f>
        <v>47861</v>
      </c>
      <c r="E523" s="567" t="str">
        <f>IF('R6a - Net Debt input'!F320 = "","",'R6a - Net Debt input'!F320)</f>
        <v>9.5 YR SWAP: PAY 1D SONIA +374 bp GBP RCV 7.37500% GBP 24.0 M MAT: 13-JAN-2031</v>
      </c>
      <c r="F523" s="567"/>
      <c r="G523" s="567"/>
      <c r="H523" s="567"/>
      <c r="I523" s="568"/>
      <c r="L523" s="722"/>
      <c r="M523" s="496">
        <v>-1.5</v>
      </c>
      <c r="N523" s="496">
        <v>-0.51470565000000001</v>
      </c>
      <c r="O523" s="496">
        <v>-0.29731708000000001</v>
      </c>
      <c r="P523" s="496">
        <v>-0.38167059000000003</v>
      </c>
      <c r="Q523" s="496">
        <v>-0.44904007000000001</v>
      </c>
      <c r="R523" s="496">
        <v>-0.48677609999999999</v>
      </c>
      <c r="S523" s="496">
        <v>-0.52170972999999998</v>
      </c>
      <c r="T523" s="496">
        <v>-0.53988620999999992</v>
      </c>
      <c r="U523" s="496">
        <v>-0.54155540000000002</v>
      </c>
      <c r="V523" s="496">
        <v>-0.42231070000000004</v>
      </c>
    </row>
    <row r="524" spans="2:22" outlineLevel="1">
      <c r="B524" s="324" t="s">
        <v>731</v>
      </c>
      <c r="C524" s="554">
        <f>IF('R6a - Net Debt input'!D321 = "","",'R6a - Net Debt input'!D321)</f>
        <v>44386</v>
      </c>
      <c r="D524" s="569">
        <f>IF('R6a - Net Debt input'!E321 = "","",'R6a - Net Debt input'!E321)</f>
        <v>47861</v>
      </c>
      <c r="E524" s="567" t="str">
        <f>IF('R6a - Net Debt input'!F321 = "","",'R6a - Net Debt input'!F321)</f>
        <v>9.5 YR SWAP: PAY 1D SONIA +338 bp GBP RCV 7.37500% GBP 38.0 M MAT: 13-JAN-2031</v>
      </c>
      <c r="F524" s="567"/>
      <c r="G524" s="567"/>
      <c r="H524" s="567"/>
      <c r="I524" s="568"/>
      <c r="L524" s="722"/>
      <c r="M524" s="496">
        <v>-2.4</v>
      </c>
      <c r="N524" s="496">
        <v>-0.95327061000000002</v>
      </c>
      <c r="O524" s="496">
        <v>-0.60983205000000007</v>
      </c>
      <c r="P524" s="496">
        <v>-0.74301176000000002</v>
      </c>
      <c r="Q524" s="496">
        <v>-0.84968009999999994</v>
      </c>
      <c r="R524" s="496">
        <v>-0.90942881999999992</v>
      </c>
      <c r="S524" s="496">
        <v>-0.96512039000000005</v>
      </c>
      <c r="T524" s="496">
        <v>-0.99351983999999993</v>
      </c>
      <c r="U524" s="496">
        <v>-0.99616271999999995</v>
      </c>
      <c r="V524" s="496">
        <v>-0.77809861999999996</v>
      </c>
    </row>
    <row r="525" spans="2:22" outlineLevel="1">
      <c r="B525" s="324" t="s">
        <v>732</v>
      </c>
      <c r="C525" s="554">
        <f>IF('R6a - Net Debt input'!D322 = "","",'R6a - Net Debt input'!D322)</f>
        <v>44386</v>
      </c>
      <c r="D525" s="569">
        <f>IF('R6a - Net Debt input'!E322 = "","",'R6a - Net Debt input'!E322)</f>
        <v>47861</v>
      </c>
      <c r="E525" s="567" t="str">
        <f>IF('R6a - Net Debt input'!F322 = "","",'R6a - Net Debt input'!F322)</f>
        <v>9.5 YR SWAP: PAY 1D SONIA +342 bp GBP RCV 7.37500% GBP 38.0 M MAT: 13-JAN-2031</v>
      </c>
      <c r="F525" s="567"/>
      <c r="G525" s="567"/>
      <c r="H525" s="567"/>
      <c r="I525" s="568"/>
      <c r="L525" s="722"/>
      <c r="M525" s="496">
        <v>-2.4</v>
      </c>
      <c r="N525" s="496">
        <v>-0.93868069999999992</v>
      </c>
      <c r="O525" s="496">
        <v>-0.59516196999999993</v>
      </c>
      <c r="P525" s="496">
        <v>-0.72838175999999999</v>
      </c>
      <c r="Q525" s="496">
        <v>-0.83505010000000002</v>
      </c>
      <c r="R525" s="496">
        <v>-0.89479881999999999</v>
      </c>
      <c r="S525" s="496">
        <v>-0.95045031000000002</v>
      </c>
      <c r="T525" s="496">
        <v>-0.97888982999999996</v>
      </c>
      <c r="U525" s="496">
        <v>-0.98153270999999997</v>
      </c>
      <c r="V525" s="496">
        <v>-0.76655494999999996</v>
      </c>
    </row>
    <row r="526" spans="2:22" outlineLevel="1">
      <c r="B526" s="324" t="s">
        <v>733</v>
      </c>
      <c r="C526" s="554">
        <f>IF('R6a - Net Debt input'!D323 = "","",'R6a - Net Debt input'!D323)</f>
        <v>44386</v>
      </c>
      <c r="D526" s="569">
        <f>IF('R6a - Net Debt input'!E323 = "","",'R6a - Net Debt input'!E323)</f>
        <v>47861</v>
      </c>
      <c r="E526" s="567" t="str">
        <f>IF('R6a - Net Debt input'!F323 = "","",'R6a - Net Debt input'!F323)</f>
        <v>9.5 YR SWAP: PAY 1D SONIA +346 bp GBP RCV 7.37500% GBP 48.0 M MAT: 13-JAN-2031</v>
      </c>
      <c r="F526" s="567"/>
      <c r="G526" s="567"/>
      <c r="H526" s="567"/>
      <c r="I526" s="568"/>
      <c r="L526" s="722"/>
      <c r="M526" s="496">
        <v>-3</v>
      </c>
      <c r="N526" s="496">
        <v>-1.16468767</v>
      </c>
      <c r="O526" s="496">
        <v>-0.73065381000000007</v>
      </c>
      <c r="P526" s="496">
        <v>-0.89898918000000005</v>
      </c>
      <c r="Q526" s="496">
        <v>-1.0337281300000001</v>
      </c>
      <c r="R526" s="496">
        <v>-1.1092001999999999</v>
      </c>
      <c r="S526" s="496">
        <v>-1.17943909</v>
      </c>
      <c r="T526" s="496">
        <v>-1.21542043</v>
      </c>
      <c r="U526" s="496">
        <v>-1.2187588</v>
      </c>
      <c r="V526" s="496">
        <v>-0.95165327</v>
      </c>
    </row>
    <row r="527" spans="2:22" outlineLevel="1">
      <c r="B527" s="324" t="s">
        <v>734</v>
      </c>
      <c r="C527" s="554">
        <f>IF('R6a - Net Debt input'!D324 = "","",'R6a - Net Debt input'!D324)</f>
        <v>44386</v>
      </c>
      <c r="D527" s="569">
        <f>IF('R6a - Net Debt input'!E324 = "","",'R6a - Net Debt input'!E324)</f>
        <v>47861</v>
      </c>
      <c r="E527" s="567" t="str">
        <f>IF('R6a - Net Debt input'!F324 = "","",'R6a - Net Debt input'!F324)</f>
        <v>10 YR SWAP: PAY 7.37500% GBP RCV 1D SONIA +336 bp GBP 15.0 M MAT: 13-JAN-2031</v>
      </c>
      <c r="F527" s="567"/>
      <c r="G527" s="567"/>
      <c r="H527" s="567"/>
      <c r="I527" s="568"/>
      <c r="L527" s="722"/>
      <c r="M527" s="496">
        <v>1</v>
      </c>
      <c r="N527" s="496">
        <v>0.37847503000000005</v>
      </c>
      <c r="O527" s="496">
        <v>0.24291919000000001</v>
      </c>
      <c r="P527" s="496">
        <v>0.29548412000000002</v>
      </c>
      <c r="Q527" s="496">
        <v>0.33759004999999997</v>
      </c>
      <c r="R527" s="496">
        <v>0.36117505999999999</v>
      </c>
      <c r="S527" s="496">
        <v>0.38316458000000003</v>
      </c>
      <c r="T527" s="496">
        <v>0.39436889000000003</v>
      </c>
      <c r="U527" s="496">
        <v>0.39541211999999998</v>
      </c>
      <c r="V527" s="496">
        <v>0.30887218999999999</v>
      </c>
    </row>
    <row r="528" spans="2:22" outlineLevel="1">
      <c r="B528" s="324" t="s">
        <v>735</v>
      </c>
      <c r="C528" s="554">
        <f>IF('R6a - Net Debt input'!D325 = "","",'R6a - Net Debt input'!D325)</f>
        <v>44386</v>
      </c>
      <c r="D528" s="569">
        <f>IF('R6a - Net Debt input'!E325 = "","",'R6a - Net Debt input'!E325)</f>
        <v>47861</v>
      </c>
      <c r="E528" s="567" t="str">
        <f>IF('R6a - Net Debt input'!F325 = "","",'R6a - Net Debt input'!F325)</f>
        <v>10 YR SWAP: PAY 7.37500% GBP RCV 1D SONIA +459 bp GBP 63.0 M MAT: 13-JAN-2031</v>
      </c>
      <c r="F528" s="567"/>
      <c r="G528" s="567"/>
      <c r="H528" s="567"/>
      <c r="I528" s="568"/>
      <c r="L528" s="722"/>
      <c r="M528" s="496">
        <v>3.5</v>
      </c>
      <c r="N528" s="496">
        <v>0.81688097999999998</v>
      </c>
      <c r="O528" s="496">
        <v>0.24330071</v>
      </c>
      <c r="P528" s="496">
        <v>0.46619628999999996</v>
      </c>
      <c r="Q528" s="496">
        <v>0.64304117000000005</v>
      </c>
      <c r="R528" s="496">
        <v>0.74209824999999996</v>
      </c>
      <c r="S528" s="496">
        <v>0.83233137999999995</v>
      </c>
      <c r="T528" s="496">
        <v>0.88151231000000008</v>
      </c>
      <c r="U528" s="496">
        <v>0.88589392</v>
      </c>
      <c r="V528" s="496">
        <v>0.68588497999999998</v>
      </c>
    </row>
    <row r="529" spans="2:22" outlineLevel="1">
      <c r="B529" s="324" t="s">
        <v>736</v>
      </c>
      <c r="C529" s="554">
        <f>IF('R6a - Net Debt input'!D326 = "","",'R6a - Net Debt input'!D326)</f>
        <v>44386</v>
      </c>
      <c r="D529" s="569">
        <f>IF('R6a - Net Debt input'!E326 = "","",'R6a - Net Debt input'!E326)</f>
        <v>47861</v>
      </c>
      <c r="E529" s="567" t="str">
        <f>IF('R6a - Net Debt input'!F326 = "","",'R6a - Net Debt input'!F326)</f>
        <v>10 YR SWAP: PAY 7.37500% GBP RCV 1D SONIA +527 bp GBP 45.0 M MAT: 13-JAN-2031</v>
      </c>
      <c r="F529" s="567"/>
      <c r="G529" s="567"/>
      <c r="H529" s="567"/>
      <c r="I529" s="568"/>
      <c r="L529" s="722"/>
      <c r="M529" s="496">
        <v>2.2999999999999998</v>
      </c>
      <c r="N529" s="496">
        <v>0.27850428000000005</v>
      </c>
      <c r="O529" s="496">
        <v>-0.13287164000000001</v>
      </c>
      <c r="P529" s="496">
        <v>2.7177340000000001E-2</v>
      </c>
      <c r="Q529" s="496">
        <v>0.15349513000000001</v>
      </c>
      <c r="R529" s="496">
        <v>0.22425017999999999</v>
      </c>
      <c r="S529" s="496">
        <v>0.28786455</v>
      </c>
      <c r="T529" s="496">
        <v>0.32383165000000003</v>
      </c>
      <c r="U529" s="496">
        <v>0.32696136999999997</v>
      </c>
      <c r="V529" s="496">
        <v>0.24861329000000001</v>
      </c>
    </row>
    <row r="530" spans="2:22" outlineLevel="1">
      <c r="B530" s="324" t="s">
        <v>737</v>
      </c>
      <c r="C530" s="554">
        <f>IF('R6a - Net Debt input'!D327 = "","",'R6a - Net Debt input'!D327)</f>
        <v>44386</v>
      </c>
      <c r="D530" s="569">
        <f>IF('R6a - Net Debt input'!E327 = "","",'R6a - Net Debt input'!E327)</f>
        <v>47861</v>
      </c>
      <c r="E530" s="567" t="str">
        <f>IF('R6a - Net Debt input'!F327 = "","",'R6a - Net Debt input'!F327)</f>
        <v>10 YR SWAP: PAY 7.37500% GBP RCV 1D SONIA +527 bp GBP 45.0 M MAT: 13-JAN-2031</v>
      </c>
      <c r="F530" s="567"/>
      <c r="G530" s="567"/>
      <c r="H530" s="567"/>
      <c r="I530" s="568"/>
      <c r="L530" s="722"/>
      <c r="M530" s="496">
        <v>2.2999999999999998</v>
      </c>
      <c r="N530" s="496">
        <v>0.27827990000000002</v>
      </c>
      <c r="O530" s="496">
        <v>-0.13309726000000002</v>
      </c>
      <c r="P530" s="496">
        <v>2.695235E-2</v>
      </c>
      <c r="Q530" s="496">
        <v>0.15327013</v>
      </c>
      <c r="R530" s="496">
        <v>0.22402517999999999</v>
      </c>
      <c r="S530" s="496">
        <v>0.28763894000000001</v>
      </c>
      <c r="T530" s="496">
        <v>0.32360665</v>
      </c>
      <c r="U530" s="496">
        <v>0.32673637</v>
      </c>
      <c r="V530" s="496">
        <v>0.24843575000000001</v>
      </c>
    </row>
    <row r="531" spans="2:22" outlineLevel="1">
      <c r="B531" s="324" t="s">
        <v>738</v>
      </c>
      <c r="C531" s="554">
        <f>IF('R6a - Net Debt input'!D328 = "","",'R6a - Net Debt input'!D328)</f>
        <v>44386</v>
      </c>
      <c r="D531" s="569">
        <f>IF('R6a - Net Debt input'!E328 = "","",'R6a - Net Debt input'!E328)</f>
        <v>47861</v>
      </c>
      <c r="E531" s="567" t="str">
        <f>IF('R6a - Net Debt input'!F328 = "","",'R6a - Net Debt input'!F328)</f>
        <v>10 YR SWAP: PAY 7.37500% GBP RCV 1D SONIA +331 bp GBP 19.0 M MAT: 13-JAN-2031</v>
      </c>
      <c r="F531" s="567"/>
      <c r="G531" s="567"/>
      <c r="H531" s="567"/>
      <c r="I531" s="568"/>
      <c r="L531" s="722"/>
      <c r="M531" s="496">
        <v>1.2</v>
      </c>
      <c r="N531" s="496">
        <v>0.48974729</v>
      </c>
      <c r="O531" s="496">
        <v>0.31810006000000002</v>
      </c>
      <c r="P531" s="496">
        <v>0.38465388</v>
      </c>
      <c r="Q531" s="496">
        <v>0.43798804999999996</v>
      </c>
      <c r="R531" s="496">
        <v>0.46786240999999995</v>
      </c>
      <c r="S531" s="496">
        <v>0.49574421999999996</v>
      </c>
      <c r="T531" s="496">
        <v>0.50990791999999996</v>
      </c>
      <c r="U531" s="496">
        <v>0.51122935999999997</v>
      </c>
      <c r="V531" s="496">
        <v>0.39942361999999998</v>
      </c>
    </row>
    <row r="532" spans="2:22" outlineLevel="1">
      <c r="B532" s="324" t="s">
        <v>739</v>
      </c>
      <c r="C532" s="554">
        <f>IF('R6a - Net Debt input'!D329 = "","",'R6a - Net Debt input'!D329)</f>
        <v>44439</v>
      </c>
      <c r="D532" s="569">
        <f>IF('R6a - Net Debt input'!E329 = "","",'R6a - Net Debt input'!E329)</f>
        <v>48484</v>
      </c>
      <c r="E532" s="567" t="str">
        <f>IF('R6a - Net Debt input'!F329 = "","",'R6a - Net Debt input'!F329)</f>
        <v>11 YR SWAP: PAY 3.87750% GBP RCV 1D SONIA +137 bp GBP 45.5 M MAT: 27-SEP-2032</v>
      </c>
      <c r="F532" s="567"/>
      <c r="G532" s="567"/>
      <c r="H532" s="567"/>
      <c r="I532" s="568"/>
      <c r="L532" s="722"/>
      <c r="M532" s="496">
        <v>0.5</v>
      </c>
      <c r="N532" s="496">
        <v>0.43514954</v>
      </c>
      <c r="O532" s="496">
        <v>4.7935309999999995E-2</v>
      </c>
      <c r="P532" s="496">
        <v>0.22674282000000001</v>
      </c>
      <c r="Q532" s="496">
        <v>0.34796355000000001</v>
      </c>
      <c r="R532" s="496">
        <v>0.41253616999999998</v>
      </c>
      <c r="S532" s="496">
        <v>0.48278268000000002</v>
      </c>
      <c r="T532" s="496">
        <v>0.52740957999999993</v>
      </c>
      <c r="U532" s="496">
        <v>0.51795279999999999</v>
      </c>
      <c r="V532" s="496">
        <v>0.50335728000000002</v>
      </c>
    </row>
    <row r="533" spans="2:22" outlineLevel="1">
      <c r="B533" s="324" t="s">
        <v>740</v>
      </c>
      <c r="C533" s="554">
        <f>IF('R6a - Net Debt input'!D330 = "","",'R6a - Net Debt input'!D330)</f>
        <v>44439</v>
      </c>
      <c r="D533" s="569">
        <f>IF('R6a - Net Debt input'!E330 = "","",'R6a - Net Debt input'!E330)</f>
        <v>49339</v>
      </c>
      <c r="E533" s="567" t="str">
        <f>IF('R6a - Net Debt input'!F330 = "","",'R6a - Net Debt input'!F330)</f>
        <v>13 YR SWAP: PAY 4.01600% GBP RCV 1D SONIA +129 bp GBP 48.0 M MAT: 30-JAN-2035</v>
      </c>
      <c r="F533" s="567"/>
      <c r="G533" s="567"/>
      <c r="H533" s="567"/>
      <c r="I533" s="568"/>
      <c r="L533" s="722"/>
      <c r="M533" s="496">
        <v>0.2</v>
      </c>
      <c r="N533" s="496">
        <v>0.60074801</v>
      </c>
      <c r="O533" s="496">
        <v>0.15549685999999999</v>
      </c>
      <c r="P533" s="496">
        <v>0.33833911</v>
      </c>
      <c r="Q533" s="496">
        <v>0.46594863000000003</v>
      </c>
      <c r="R533" s="496">
        <v>0.54050039000000005</v>
      </c>
      <c r="S533" s="496">
        <v>0.61203682999999998</v>
      </c>
      <c r="T533" s="496">
        <v>0.65515226000000004</v>
      </c>
      <c r="U533" s="496">
        <v>0.65042959</v>
      </c>
      <c r="V533" s="496">
        <v>0.63504026000000002</v>
      </c>
    </row>
    <row r="534" spans="2:22" outlineLevel="1">
      <c r="B534" s="324" t="s">
        <v>741</v>
      </c>
      <c r="C534" s="554">
        <f>IF('R6a - Net Debt input'!D331 = "","",'R6a - Net Debt input'!D331)</f>
        <v>44427</v>
      </c>
      <c r="D534" s="569">
        <f>IF('R6a - Net Debt input'!E331 = "","",'R6a - Net Debt input'!E331)</f>
        <v>45686</v>
      </c>
      <c r="E534" s="567" t="str">
        <f>IF('R6a - Net Debt input'!F331 = "","",'R6a - Net Debt input'!F331)</f>
        <v>3.0 YR SWAP: PAY 3.18000% GBP RCV 1D SONIA +111 bp GBP 77.0 M MAT: 29-JAN-2025</v>
      </c>
      <c r="F534" s="567"/>
      <c r="G534" s="567"/>
      <c r="H534" s="567"/>
      <c r="I534" s="568"/>
      <c r="L534" s="722"/>
      <c r="M534" s="496">
        <v>0.2</v>
      </c>
      <c r="N534" s="496">
        <v>0.45530944000000001</v>
      </c>
      <c r="O534" s="496">
        <v>-0.26004525000000001</v>
      </c>
      <c r="P534" s="496">
        <v>4.7592299999999997E-3</v>
      </c>
      <c r="Q534" s="496">
        <v>0</v>
      </c>
      <c r="R534" s="496">
        <v>0</v>
      </c>
      <c r="S534" s="496">
        <v>0</v>
      </c>
      <c r="T534" s="496">
        <v>0</v>
      </c>
      <c r="U534" s="496">
        <v>0</v>
      </c>
      <c r="V534" s="496">
        <v>0</v>
      </c>
    </row>
    <row r="535" spans="2:22">
      <c r="B535" s="169"/>
      <c r="E535" s="169"/>
      <c r="F535" s="169"/>
      <c r="G535" s="169"/>
      <c r="H535" s="169"/>
      <c r="L535" s="985" t="s">
        <v>742</v>
      </c>
      <c r="M535" s="474">
        <f t="shared" ref="M535:V535" si="41">SUM(M451:M534)</f>
        <v>-6.1000000000000023</v>
      </c>
      <c r="N535" s="475">
        <f t="shared" si="41"/>
        <v>-1.2672041800000002</v>
      </c>
      <c r="O535" s="475">
        <f t="shared" si="41"/>
        <v>1.9992916299999997</v>
      </c>
      <c r="P535" s="475">
        <f t="shared" si="41"/>
        <v>1.8917297899999983</v>
      </c>
      <c r="Q535" s="475">
        <f t="shared" si="41"/>
        <v>0.98546872999999957</v>
      </c>
      <c r="R535" s="475">
        <f t="shared" si="41"/>
        <v>4.9992340000000524E-2</v>
      </c>
      <c r="S535" s="475">
        <f t="shared" si="41"/>
        <v>0.17423129999999976</v>
      </c>
      <c r="T535" s="476">
        <f t="shared" si="41"/>
        <v>4.2124470000000525E-2</v>
      </c>
      <c r="U535" s="477">
        <f t="shared" si="41"/>
        <v>4.8956600000004125E-3</v>
      </c>
      <c r="V535" s="475">
        <f t="shared" si="41"/>
        <v>0.51153222000000009</v>
      </c>
    </row>
    <row r="536" spans="2:22">
      <c r="B536" s="169"/>
    </row>
    <row r="537" spans="2:22" ht="17.5" outlineLevel="1">
      <c r="C537" s="150"/>
      <c r="D537" s="265" t="s">
        <v>533</v>
      </c>
      <c r="E537" s="266"/>
      <c r="F537" s="266"/>
      <c r="G537" s="266"/>
      <c r="H537" s="266"/>
      <c r="I537" s="266"/>
      <c r="J537" s="266"/>
      <c r="K537" s="266"/>
      <c r="L537" s="304"/>
      <c r="M537" s="266"/>
      <c r="N537" s="266"/>
      <c r="O537" s="266"/>
      <c r="P537" s="266"/>
      <c r="Q537" s="266"/>
      <c r="R537" s="266"/>
      <c r="S537" s="266"/>
      <c r="T537" s="266"/>
      <c r="U537" s="284"/>
      <c r="V537" s="266"/>
    </row>
    <row r="538" spans="2:22">
      <c r="B538" s="169"/>
    </row>
    <row r="539" spans="2:22" ht="32.25" customHeight="1" outlineLevel="1">
      <c r="B539" s="779"/>
      <c r="C539" s="777" t="s">
        <v>599</v>
      </c>
      <c r="D539" s="778" t="s">
        <v>600</v>
      </c>
      <c r="E539" s="1391" t="s">
        <v>601</v>
      </c>
      <c r="F539" s="1392" t="s">
        <v>653</v>
      </c>
      <c r="G539" s="1392" t="s">
        <v>654</v>
      </c>
      <c r="H539" s="1392" t="s">
        <v>655</v>
      </c>
      <c r="I539" s="1393" t="s">
        <v>656</v>
      </c>
      <c r="L539" s="722"/>
      <c r="U539" s="283"/>
    </row>
    <row r="540" spans="2:22" s="532" customFormat="1" ht="53.25" customHeight="1" outlineLevel="1">
      <c r="B540" s="526" t="s">
        <v>468</v>
      </c>
      <c r="C540" s="517" t="s">
        <v>602</v>
      </c>
      <c r="D540" s="984" t="s">
        <v>602</v>
      </c>
      <c r="E540" s="1394"/>
      <c r="F540" s="1395" t="s">
        <v>137</v>
      </c>
      <c r="G540" s="1395" t="s">
        <v>137</v>
      </c>
      <c r="H540" s="1395" t="s">
        <v>469</v>
      </c>
      <c r="I540" s="1396" t="s">
        <v>657</v>
      </c>
      <c r="J540" s="151"/>
      <c r="K540" s="151"/>
      <c r="L540" s="527"/>
      <c r="M540" s="528" t="s">
        <v>469</v>
      </c>
      <c r="N540" s="529" t="s">
        <v>469</v>
      </c>
      <c r="O540" s="529" t="s">
        <v>469</v>
      </c>
      <c r="P540" s="529" t="s">
        <v>469</v>
      </c>
      <c r="Q540" s="529" t="s">
        <v>469</v>
      </c>
      <c r="R540" s="529" t="s">
        <v>469</v>
      </c>
      <c r="S540" s="529" t="s">
        <v>469</v>
      </c>
      <c r="T540" s="530" t="s">
        <v>469</v>
      </c>
      <c r="U540" s="531" t="s">
        <v>469</v>
      </c>
      <c r="V540" s="529" t="s">
        <v>469</v>
      </c>
    </row>
    <row r="541" spans="2:22" outlineLevel="1">
      <c r="B541" s="324" t="s">
        <v>658</v>
      </c>
      <c r="C541" s="554">
        <f>IF('R6a - Net Debt input'!D248 = "","",'R6a - Net Debt input'!D248)</f>
        <v>41171</v>
      </c>
      <c r="D541" s="554">
        <f>IF('R6a - Net Debt input'!E248 = "","",'R6a - Net Debt input'!E248)</f>
        <v>48484</v>
      </c>
      <c r="E541" s="566" t="str">
        <f>IF('R6a - Net Debt input'!F248 = "","",'R6a - Net Debt input'!F248)</f>
        <v>20 YR SWAP: PAY 3.87750% GBP RCV 6M Libor +110 bp GBP 45.5 M MAT: 27-SEP-2032</v>
      </c>
      <c r="F541" s="567"/>
      <c r="G541" s="567"/>
      <c r="H541" s="567"/>
      <c r="I541" s="568"/>
      <c r="L541" s="722"/>
      <c r="M541" s="496">
        <v>0.6</v>
      </c>
      <c r="N541" s="496">
        <v>0</v>
      </c>
      <c r="O541" s="496">
        <v>0</v>
      </c>
      <c r="P541" s="496">
        <v>0</v>
      </c>
      <c r="Q541" s="496">
        <v>0</v>
      </c>
      <c r="R541" s="496">
        <v>0</v>
      </c>
      <c r="S541" s="496">
        <v>0</v>
      </c>
      <c r="T541" s="496">
        <v>0</v>
      </c>
      <c r="U541" s="496">
        <v>0</v>
      </c>
      <c r="V541" s="496">
        <v>0</v>
      </c>
    </row>
    <row r="542" spans="2:22" outlineLevel="1">
      <c r="B542" s="324" t="s">
        <v>659</v>
      </c>
      <c r="C542" s="554">
        <f>IF('R6a - Net Debt input'!D249 = "","",'R6a - Net Debt input'!D249)</f>
        <v>38566</v>
      </c>
      <c r="D542" s="554">
        <f>IF('R6a - Net Debt input'!E249 = "","",'R6a - Net Debt input'!E249)</f>
        <v>45324</v>
      </c>
      <c r="E542" s="566" t="str">
        <f>IF('R6a - Net Debt input'!F249 = "","",'R6a - Net Debt input'!F249)</f>
        <v>18.5 YR SWAP: PAY 6M Libor +117 bp GBP RCV 5.87500% GBP 20.0 M MAT: 02-FEB-2024</v>
      </c>
      <c r="F542" s="567"/>
      <c r="G542" s="567"/>
      <c r="H542" s="567"/>
      <c r="I542" s="568"/>
      <c r="L542" s="722"/>
      <c r="M542" s="496">
        <v>-0.5</v>
      </c>
      <c r="N542" s="496">
        <v>0</v>
      </c>
      <c r="O542" s="496">
        <v>0</v>
      </c>
      <c r="P542" s="496">
        <v>0</v>
      </c>
      <c r="Q542" s="496">
        <v>0</v>
      </c>
      <c r="R542" s="496">
        <v>0</v>
      </c>
      <c r="S542" s="496">
        <v>0</v>
      </c>
      <c r="T542" s="496">
        <v>0</v>
      </c>
      <c r="U542" s="496">
        <v>0</v>
      </c>
      <c r="V542" s="496">
        <v>0</v>
      </c>
    </row>
    <row r="543" spans="2:22" outlineLevel="1">
      <c r="B543" s="324" t="s">
        <v>660</v>
      </c>
      <c r="C543" s="554">
        <f>IF('R6a - Net Debt input'!D250 = "","",'R6a - Net Debt input'!D250)</f>
        <v>40309</v>
      </c>
      <c r="D543" s="554">
        <f>IF('R6a - Net Debt input'!E250 = "","",'R6a - Net Debt input'!E250)</f>
        <v>45324</v>
      </c>
      <c r="E543" s="566" t="str">
        <f>IF('R6a - Net Debt input'!F250 = "","",'R6a - Net Debt input'!F250)</f>
        <v>13.7 YR SWAP: PAY 6M Libor +172 bp GBP RCV 5.87500% GBP 75.0 M MAT: 02-FEB-2024</v>
      </c>
      <c r="F543" s="567"/>
      <c r="G543" s="567"/>
      <c r="H543" s="567"/>
      <c r="I543" s="568"/>
      <c r="L543" s="722"/>
      <c r="M543" s="496">
        <v>-1.5</v>
      </c>
      <c r="N543" s="496">
        <v>0</v>
      </c>
      <c r="O543" s="496">
        <v>0</v>
      </c>
      <c r="P543" s="496">
        <v>0</v>
      </c>
      <c r="Q543" s="496">
        <v>0</v>
      </c>
      <c r="R543" s="496">
        <v>0</v>
      </c>
      <c r="S543" s="496">
        <v>0</v>
      </c>
      <c r="T543" s="496">
        <v>0</v>
      </c>
      <c r="U543" s="496">
        <v>0</v>
      </c>
      <c r="V543" s="496">
        <v>0</v>
      </c>
    </row>
    <row r="544" spans="2:22" outlineLevel="1">
      <c r="B544" s="324" t="s">
        <v>661</v>
      </c>
      <c r="C544" s="554">
        <f>IF('R6a - Net Debt input'!D251 = "","",'R6a - Net Debt input'!D251)</f>
        <v>40401</v>
      </c>
      <c r="D544" s="554">
        <f>IF('R6a - Net Debt input'!E251 = "","",'R6a - Net Debt input'!E251)</f>
        <v>45324</v>
      </c>
      <c r="E544" s="566" t="str">
        <f>IF('R6a - Net Debt input'!F251 = "","",'R6a - Net Debt input'!F251)</f>
        <v>11.5 YR SWAP: PAY 5.87500% GBP RCV 6M Libor +176 bp GBP 149.5 M MAT: 02-FEB-2024</v>
      </c>
      <c r="F544" s="567"/>
      <c r="G544" s="567"/>
      <c r="H544" s="567"/>
      <c r="I544" s="568"/>
      <c r="L544" s="722"/>
      <c r="M544" s="496">
        <v>0.8</v>
      </c>
      <c r="N544" s="496">
        <v>0</v>
      </c>
      <c r="O544" s="496">
        <v>0</v>
      </c>
      <c r="P544" s="496">
        <v>0</v>
      </c>
      <c r="Q544" s="496">
        <v>0</v>
      </c>
      <c r="R544" s="496">
        <v>0</v>
      </c>
      <c r="S544" s="496">
        <v>0</v>
      </c>
      <c r="T544" s="496">
        <v>0</v>
      </c>
      <c r="U544" s="496">
        <v>0</v>
      </c>
      <c r="V544" s="496">
        <v>0</v>
      </c>
    </row>
    <row r="545" spans="2:22" outlineLevel="1">
      <c r="B545" s="324" t="s">
        <v>662</v>
      </c>
      <c r="C545" s="554">
        <f>IF('R6a - Net Debt input'!D252 = "","",'R6a - Net Debt input'!D252)</f>
        <v>40504</v>
      </c>
      <c r="D545" s="554">
        <f>IF('R6a - Net Debt input'!E252 = "","",'R6a - Net Debt input'!E252)</f>
        <v>45324</v>
      </c>
      <c r="E545" s="566" t="str">
        <f>IF('R6a - Net Debt input'!F252 = "","",'R6a - Net Debt input'!F252)</f>
        <v>13.2 YR SWAP: PAY 6M Libor +244 bp GBP RCV 5.87500% GBP 28.0 M MAT: 02-FEB-2024</v>
      </c>
      <c r="F545" s="567"/>
      <c r="G545" s="567"/>
      <c r="H545" s="567"/>
      <c r="I545" s="568"/>
      <c r="L545" s="722"/>
      <c r="M545" s="496">
        <v>-0.5</v>
      </c>
      <c r="N545" s="496">
        <v>0</v>
      </c>
      <c r="O545" s="496">
        <v>0</v>
      </c>
      <c r="P545" s="496">
        <v>0</v>
      </c>
      <c r="Q545" s="496">
        <v>0</v>
      </c>
      <c r="R545" s="496">
        <v>0</v>
      </c>
      <c r="S545" s="496">
        <v>0</v>
      </c>
      <c r="T545" s="496">
        <v>0</v>
      </c>
      <c r="U545" s="496">
        <v>0</v>
      </c>
      <c r="V545" s="496">
        <v>0</v>
      </c>
    </row>
    <row r="546" spans="2:22" outlineLevel="1">
      <c r="B546" s="324" t="s">
        <v>663</v>
      </c>
      <c r="C546" s="554">
        <f>IF('R6a - Net Debt input'!D253 = "","",'R6a - Net Debt input'!D253)</f>
        <v>37747</v>
      </c>
      <c r="D546" s="554">
        <f>IF('R6a - Net Debt input'!E253 = "","",'R6a - Net Debt input'!E253)</f>
        <v>46961</v>
      </c>
      <c r="E546" s="566" t="str">
        <f>IF('R6a - Net Debt input'!F253 = "","",'R6a - Net Debt input'!F253)</f>
        <v>25.2 YR SWAP: PAY 6M Libor +157 bp GBP RCV 6.50000% GBP 15.0 M MAT: 27-JUL-2028</v>
      </c>
      <c r="F546" s="567"/>
      <c r="G546" s="567"/>
      <c r="H546" s="567"/>
      <c r="I546" s="568"/>
      <c r="L546" s="722"/>
      <c r="M546" s="496">
        <v>-0.9</v>
      </c>
      <c r="N546" s="496">
        <v>0</v>
      </c>
      <c r="O546" s="496">
        <v>0</v>
      </c>
      <c r="P546" s="496">
        <v>0</v>
      </c>
      <c r="Q546" s="496">
        <v>0</v>
      </c>
      <c r="R546" s="496">
        <v>0</v>
      </c>
      <c r="S546" s="496">
        <v>0</v>
      </c>
      <c r="T546" s="496">
        <v>0</v>
      </c>
      <c r="U546" s="496">
        <v>0</v>
      </c>
      <c r="V546" s="496">
        <v>0</v>
      </c>
    </row>
    <row r="547" spans="2:22" outlineLevel="1">
      <c r="B547" s="324" t="s">
        <v>664</v>
      </c>
      <c r="C547" s="554">
        <f>IF('R6a - Net Debt input'!D254 = "","",'R6a - Net Debt input'!D254)</f>
        <v>38622</v>
      </c>
      <c r="D547" s="554">
        <f>IF('R6a - Net Debt input'!E254 = "","",'R6a - Net Debt input'!E254)</f>
        <v>46961</v>
      </c>
      <c r="E547" s="566" t="str">
        <f>IF('R6a - Net Debt input'!F254 = "","",'R6a - Net Debt input'!F254)</f>
        <v>22.8 YR SWAP: PAY 6M Libor +190 bp GBP RCV 6.50000% GBP 14.0 M MAT: 27-JUL-2028</v>
      </c>
      <c r="F547" s="567"/>
      <c r="G547" s="567"/>
      <c r="H547" s="567"/>
      <c r="I547" s="568"/>
      <c r="L547" s="722"/>
      <c r="M547" s="496">
        <v>-0.8</v>
      </c>
      <c r="N547" s="496">
        <v>0</v>
      </c>
      <c r="O547" s="496">
        <v>0</v>
      </c>
      <c r="P547" s="496">
        <v>0</v>
      </c>
      <c r="Q547" s="496">
        <v>0</v>
      </c>
      <c r="R547" s="496">
        <v>0</v>
      </c>
      <c r="S547" s="496">
        <v>0</v>
      </c>
      <c r="T547" s="496">
        <v>0</v>
      </c>
      <c r="U547" s="496">
        <v>0</v>
      </c>
      <c r="V547" s="496">
        <v>0</v>
      </c>
    </row>
    <row r="548" spans="2:22" outlineLevel="1">
      <c r="B548" s="324" t="s">
        <v>665</v>
      </c>
      <c r="C548" s="554">
        <f>IF('R6a - Net Debt input'!D255 = "","",'R6a - Net Debt input'!D255)</f>
        <v>40309</v>
      </c>
      <c r="D548" s="554">
        <f>IF('R6a - Net Debt input'!E255 = "","",'R6a - Net Debt input'!E255)</f>
        <v>46961</v>
      </c>
      <c r="E548" s="566" t="str">
        <f>IF('R6a - Net Debt input'!F255 = "","",'R6a - Net Debt input'!F255)</f>
        <v>18.2 YR SWAP: PAY 6M Libor +226 bp GBP RCV 6.50000% GBP 65.0 M MAT: 27-JUL-2028</v>
      </c>
      <c r="F548" s="567"/>
      <c r="G548" s="567"/>
      <c r="H548" s="567"/>
      <c r="I548" s="568"/>
      <c r="L548" s="722"/>
      <c r="M548" s="496">
        <v>-3.5</v>
      </c>
      <c r="N548" s="496">
        <v>0</v>
      </c>
      <c r="O548" s="496">
        <v>0</v>
      </c>
      <c r="P548" s="496">
        <v>0</v>
      </c>
      <c r="Q548" s="496">
        <v>0</v>
      </c>
      <c r="R548" s="496">
        <v>0</v>
      </c>
      <c r="S548" s="496">
        <v>0</v>
      </c>
      <c r="T548" s="496">
        <v>0</v>
      </c>
      <c r="U548" s="496">
        <v>0</v>
      </c>
      <c r="V548" s="496">
        <v>0</v>
      </c>
    </row>
    <row r="549" spans="2:22" outlineLevel="1">
      <c r="B549" s="324" t="s">
        <v>666</v>
      </c>
      <c r="C549" s="554">
        <f>IF('R6a - Net Debt input'!D256 = "","",'R6a - Net Debt input'!D256)</f>
        <v>40309</v>
      </c>
      <c r="D549" s="554">
        <f>IF('R6a - Net Debt input'!E256 = "","",'R6a - Net Debt input'!E256)</f>
        <v>46961</v>
      </c>
      <c r="E549" s="566" t="str">
        <f>IF('R6a - Net Debt input'!F256 = "","",'R6a - Net Debt input'!F256)</f>
        <v>18.2 YR SWAP: PAY 6M Libor +228 bp GBP RCV 6.50000% GBP 60.0 M MAT: 27-JUL-2028</v>
      </c>
      <c r="F549" s="567"/>
      <c r="G549" s="567"/>
      <c r="H549" s="567"/>
      <c r="I549" s="568"/>
      <c r="L549" s="722"/>
      <c r="M549" s="496">
        <v>-2.1</v>
      </c>
      <c r="N549" s="496">
        <v>0</v>
      </c>
      <c r="O549" s="496">
        <v>0</v>
      </c>
      <c r="P549" s="496">
        <v>0</v>
      </c>
      <c r="Q549" s="496">
        <v>0</v>
      </c>
      <c r="R549" s="496">
        <v>0</v>
      </c>
      <c r="S549" s="496">
        <v>0</v>
      </c>
      <c r="T549" s="496">
        <v>0</v>
      </c>
      <c r="U549" s="496">
        <v>0</v>
      </c>
      <c r="V549" s="496">
        <v>0</v>
      </c>
    </row>
    <row r="550" spans="2:22" outlineLevel="1">
      <c r="B550" s="324" t="s">
        <v>667</v>
      </c>
      <c r="C550" s="554">
        <f>IF('R6a - Net Debt input'!D257 = "","",'R6a - Net Debt input'!D257)</f>
        <v>40401</v>
      </c>
      <c r="D550" s="554">
        <f>IF('R6a - Net Debt input'!E257 = "","",'R6a - Net Debt input'!E257)</f>
        <v>46961</v>
      </c>
      <c r="E550" s="566" t="str">
        <f>IF('R6a - Net Debt input'!F257 = "","",'R6a - Net Debt input'!F257)</f>
        <v>16 YR SWAP: PAY 6.50000% GBP RCV 6M Libor +226 bp GBP 125.0 M MAT: 27-JUL-2028</v>
      </c>
      <c r="F550" s="567"/>
      <c r="G550" s="567"/>
      <c r="H550" s="567"/>
      <c r="I550" s="568"/>
      <c r="L550" s="722"/>
      <c r="M550" s="496">
        <v>4.9000000000000004</v>
      </c>
      <c r="N550" s="496">
        <v>0</v>
      </c>
      <c r="O550" s="496">
        <v>0</v>
      </c>
      <c r="P550" s="496">
        <v>0</v>
      </c>
      <c r="Q550" s="496">
        <v>0</v>
      </c>
      <c r="R550" s="496">
        <v>0</v>
      </c>
      <c r="S550" s="496">
        <v>0</v>
      </c>
      <c r="T550" s="496">
        <v>0</v>
      </c>
      <c r="U550" s="496">
        <v>0</v>
      </c>
      <c r="V550" s="496">
        <v>0</v>
      </c>
    </row>
    <row r="551" spans="2:22" outlineLevel="1">
      <c r="B551" s="324" t="s">
        <v>668</v>
      </c>
      <c r="C551" s="554">
        <f>IF('R6a - Net Debt input'!D258 = "","",'R6a - Net Debt input'!D258)</f>
        <v>38401</v>
      </c>
      <c r="D551" s="554">
        <f>IF('R6a - Net Debt input'!E258 = "","",'R6a - Net Debt input'!E258)</f>
        <v>49369</v>
      </c>
      <c r="E551" s="566" t="str">
        <f>IF('R6a - Net Debt input'!F258 = "","",'R6a - Net Debt input'!F258)</f>
        <v>30 YR SWAP: PAY 6M Libor +23 bp GBP RCV 5.00000% GBP 40.0 M MAT: 01-MAR-2035</v>
      </c>
      <c r="F551" s="567"/>
      <c r="G551" s="567"/>
      <c r="H551" s="567"/>
      <c r="I551" s="568"/>
      <c r="L551" s="722"/>
      <c r="M551" s="496">
        <v>-0.9</v>
      </c>
      <c r="N551" s="496">
        <v>0</v>
      </c>
      <c r="O551" s="496">
        <v>0</v>
      </c>
      <c r="P551" s="496">
        <v>0</v>
      </c>
      <c r="Q551" s="496">
        <v>0</v>
      </c>
      <c r="R551" s="496">
        <v>0</v>
      </c>
      <c r="S551" s="496">
        <v>0</v>
      </c>
      <c r="T551" s="496">
        <v>0</v>
      </c>
      <c r="U551" s="496">
        <v>0</v>
      </c>
      <c r="V551" s="496">
        <v>0</v>
      </c>
    </row>
    <row r="552" spans="2:22" outlineLevel="1">
      <c r="B552" s="324" t="s">
        <v>669</v>
      </c>
      <c r="C552" s="554">
        <f>IF('R6a - Net Debt input'!D259 = "","",'R6a - Net Debt input'!D259)</f>
        <v>40311</v>
      </c>
      <c r="D552" s="554">
        <f>IF('R6a - Net Debt input'!E259 = "","",'R6a - Net Debt input'!E259)</f>
        <v>49369</v>
      </c>
      <c r="E552" s="566" t="str">
        <f>IF('R6a - Net Debt input'!F259 = "","",'R6a - Net Debt input'!F259)</f>
        <v>24.8 YR SWAP: PAY 6M Libor +87 bp GBP RCV 5.00000% GBP 20.0 M MAT: 01-MAR-2035</v>
      </c>
      <c r="F552" s="567"/>
      <c r="G552" s="567"/>
      <c r="H552" s="567"/>
      <c r="I552" s="568"/>
      <c r="L552" s="722"/>
      <c r="M552" s="496">
        <v>-0.4</v>
      </c>
      <c r="N552" s="496">
        <v>0</v>
      </c>
      <c r="O552" s="496">
        <v>0</v>
      </c>
      <c r="P552" s="496">
        <v>0</v>
      </c>
      <c r="Q552" s="496">
        <v>0</v>
      </c>
      <c r="R552" s="496">
        <v>0</v>
      </c>
      <c r="S552" s="496">
        <v>0</v>
      </c>
      <c r="T552" s="496">
        <v>0</v>
      </c>
      <c r="U552" s="496">
        <v>0</v>
      </c>
      <c r="V552" s="496">
        <v>0</v>
      </c>
    </row>
    <row r="553" spans="2:22" outlineLevel="1">
      <c r="B553" s="324" t="s">
        <v>670</v>
      </c>
      <c r="C553" s="554">
        <f>IF('R6a - Net Debt input'!D260 = "","",'R6a - Net Debt input'!D260)</f>
        <v>40676</v>
      </c>
      <c r="D553" s="554">
        <f>IF('R6a - Net Debt input'!E260 = "","",'R6a - Net Debt input'!E260)</f>
        <v>49369</v>
      </c>
      <c r="E553" s="566" t="str">
        <f>IF('R6a - Net Debt input'!F260 = "","",'R6a - Net Debt input'!F260)</f>
        <v>23.8 YR SWAP: PAY 5.00000% GBP RCV 6M Libor +94 bp GBP 40.0 M MAT: 01-MAR-2035</v>
      </c>
      <c r="F553" s="567"/>
      <c r="G553" s="567"/>
      <c r="H553" s="567"/>
      <c r="I553" s="568"/>
      <c r="L553" s="722"/>
      <c r="M553" s="496">
        <v>0.8</v>
      </c>
      <c r="N553" s="496">
        <v>0</v>
      </c>
      <c r="O553" s="496">
        <v>0</v>
      </c>
      <c r="P553" s="496">
        <v>0</v>
      </c>
      <c r="Q553" s="496">
        <v>0</v>
      </c>
      <c r="R553" s="496">
        <v>0</v>
      </c>
      <c r="S553" s="496">
        <v>0</v>
      </c>
      <c r="T553" s="496">
        <v>0</v>
      </c>
      <c r="U553" s="496">
        <v>0</v>
      </c>
      <c r="V553" s="496">
        <v>0</v>
      </c>
    </row>
    <row r="554" spans="2:22" outlineLevel="1">
      <c r="B554" s="324" t="s">
        <v>671</v>
      </c>
      <c r="C554" s="554">
        <f>IF('R6a - Net Debt input'!D261 = "","",'R6a - Net Debt input'!D261)</f>
        <v>39832</v>
      </c>
      <c r="D554" s="554">
        <f>IF('R6a - Net Debt input'!E261 = "","",'R6a - Net Debt input'!E261)</f>
        <v>47861</v>
      </c>
      <c r="E554" s="566" t="str">
        <f>IF('R6a - Net Debt input'!F261 = "","",'R6a - Net Debt input'!F261)</f>
        <v>22.0 YR SWAP: PAY 6M Libor +337 bp GBP RCV 7.37500% GBP 40.0 M MAT: 13-JAN-2031</v>
      </c>
      <c r="F554" s="567"/>
      <c r="G554" s="567"/>
      <c r="H554" s="567"/>
      <c r="I554" s="568"/>
      <c r="L554" s="722"/>
      <c r="M554" s="496">
        <v>-0.8</v>
      </c>
      <c r="N554" s="496">
        <v>0</v>
      </c>
      <c r="O554" s="496">
        <v>0</v>
      </c>
      <c r="P554" s="496">
        <v>0</v>
      </c>
      <c r="Q554" s="496">
        <v>0</v>
      </c>
      <c r="R554" s="496">
        <v>0</v>
      </c>
      <c r="S554" s="496">
        <v>0</v>
      </c>
      <c r="T554" s="496">
        <v>0</v>
      </c>
      <c r="U554" s="496">
        <v>0</v>
      </c>
      <c r="V554" s="496">
        <v>0</v>
      </c>
    </row>
    <row r="555" spans="2:22" outlineLevel="1">
      <c r="B555" s="324" t="s">
        <v>672</v>
      </c>
      <c r="C555" s="554">
        <f>IF('R6a - Net Debt input'!D262 = "","",'R6a - Net Debt input'!D262)</f>
        <v>39834</v>
      </c>
      <c r="D555" s="554">
        <f>IF('R6a - Net Debt input'!E262 = "","",'R6a - Net Debt input'!E262)</f>
        <v>47861</v>
      </c>
      <c r="E555" s="566" t="str">
        <f>IF('R6a - Net Debt input'!F262 = "","",'R6a - Net Debt input'!F262)</f>
        <v>22.0 YR SWAP: PAY 6M Libor +348 bp GBP RCV 7.37500% GBP 24.0 M MAT: 13-JAN-2031</v>
      </c>
      <c r="F555" s="567"/>
      <c r="G555" s="567"/>
      <c r="H555" s="567"/>
      <c r="I555" s="568"/>
      <c r="L555" s="722"/>
      <c r="M555" s="496">
        <v>-0.5</v>
      </c>
      <c r="N555" s="496">
        <v>0</v>
      </c>
      <c r="O555" s="496">
        <v>0</v>
      </c>
      <c r="P555" s="496">
        <v>0</v>
      </c>
      <c r="Q555" s="496">
        <v>0</v>
      </c>
      <c r="R555" s="496">
        <v>0</v>
      </c>
      <c r="S555" s="496">
        <v>0</v>
      </c>
      <c r="T555" s="496">
        <v>0</v>
      </c>
      <c r="U555" s="496">
        <v>0</v>
      </c>
      <c r="V555" s="496">
        <v>0</v>
      </c>
    </row>
    <row r="556" spans="2:22" outlineLevel="1">
      <c r="B556" s="324" t="s">
        <v>673</v>
      </c>
      <c r="C556" s="554">
        <f>IF('R6a - Net Debt input'!D263 = "","",'R6a - Net Debt input'!D263)</f>
        <v>40298</v>
      </c>
      <c r="D556" s="554">
        <f>IF('R6a - Net Debt input'!E263 = "","",'R6a - Net Debt input'!E263)</f>
        <v>47861</v>
      </c>
      <c r="E556" s="566" t="str">
        <f>IF('R6a - Net Debt input'!F263 = "","",'R6a - Net Debt input'!F263)</f>
        <v>20.7 YR SWAP: PAY 6M Libor +311 bp GBP RCV 7.37500% GBP 38.0 M MAT: 13-JAN-2031</v>
      </c>
      <c r="F556" s="567"/>
      <c r="G556" s="567"/>
      <c r="H556" s="567"/>
      <c r="I556" s="568"/>
      <c r="L556" s="722"/>
      <c r="M556" s="496">
        <v>-0.8</v>
      </c>
      <c r="N556" s="496">
        <v>0</v>
      </c>
      <c r="O556" s="496">
        <v>0</v>
      </c>
      <c r="P556" s="496">
        <v>0</v>
      </c>
      <c r="Q556" s="496">
        <v>0</v>
      </c>
      <c r="R556" s="496">
        <v>0</v>
      </c>
      <c r="S556" s="496">
        <v>0</v>
      </c>
      <c r="T556" s="496">
        <v>0</v>
      </c>
      <c r="U556" s="496">
        <v>0</v>
      </c>
      <c r="V556" s="496">
        <v>0</v>
      </c>
    </row>
    <row r="557" spans="2:22" outlineLevel="1">
      <c r="B557" s="324" t="s">
        <v>674</v>
      </c>
      <c r="C557" s="554">
        <f>IF('R6a - Net Debt input'!D264 = "","",'R6a - Net Debt input'!D264)</f>
        <v>40302</v>
      </c>
      <c r="D557" s="554">
        <f>IF('R6a - Net Debt input'!E264 = "","",'R6a - Net Debt input'!E264)</f>
        <v>47861</v>
      </c>
      <c r="E557" s="566" t="str">
        <f>IF('R6a - Net Debt input'!F264 = "","",'R6a - Net Debt input'!F264)</f>
        <v>20.7 YR SWAP: PAY 6M Libor +315 bp GBP RCV 7.37500% GBP 38.0 M MAT: 13-JAN-2031</v>
      </c>
      <c r="F557" s="567"/>
      <c r="G557" s="567"/>
      <c r="H557" s="567"/>
      <c r="I557" s="568"/>
      <c r="L557" s="722"/>
      <c r="M557" s="496">
        <v>-0.8</v>
      </c>
      <c r="N557" s="496">
        <v>0</v>
      </c>
      <c r="O557" s="496">
        <v>0</v>
      </c>
      <c r="P557" s="496">
        <v>0</v>
      </c>
      <c r="Q557" s="496">
        <v>0</v>
      </c>
      <c r="R557" s="496">
        <v>0</v>
      </c>
      <c r="S557" s="496">
        <v>0</v>
      </c>
      <c r="T557" s="496">
        <v>0</v>
      </c>
      <c r="U557" s="496">
        <v>0</v>
      </c>
      <c r="V557" s="496">
        <v>0</v>
      </c>
    </row>
    <row r="558" spans="2:22" outlineLevel="1">
      <c r="B558" s="324" t="s">
        <v>675</v>
      </c>
      <c r="C558" s="554">
        <f>IF('R6a - Net Debt input'!D265 = "","",'R6a - Net Debt input'!D265)</f>
        <v>40311</v>
      </c>
      <c r="D558" s="554">
        <f>IF('R6a - Net Debt input'!E265 = "","",'R6a - Net Debt input'!E265)</f>
        <v>47861</v>
      </c>
      <c r="E558" s="566" t="str">
        <f>IF('R6a - Net Debt input'!F265 = "","",'R6a - Net Debt input'!F265)</f>
        <v>20.7 YR SWAP: PAY 6M Libor +320 bp GBP RCV 7.37500% GBP 48.0 M MAT: 13-JAN-2031</v>
      </c>
      <c r="F558" s="567"/>
      <c r="G558" s="567"/>
      <c r="H558" s="567"/>
      <c r="I558" s="568"/>
      <c r="L558" s="722"/>
      <c r="M558" s="496">
        <v>-1</v>
      </c>
      <c r="N558" s="496">
        <v>0</v>
      </c>
      <c r="O558" s="496">
        <v>0</v>
      </c>
      <c r="P558" s="496">
        <v>0</v>
      </c>
      <c r="Q558" s="496">
        <v>0</v>
      </c>
      <c r="R558" s="496">
        <v>0</v>
      </c>
      <c r="S558" s="496">
        <v>0</v>
      </c>
      <c r="T558" s="496">
        <v>0</v>
      </c>
      <c r="U558" s="496">
        <v>0</v>
      </c>
      <c r="V558" s="496">
        <v>0</v>
      </c>
    </row>
    <row r="559" spans="2:22" outlineLevel="1">
      <c r="B559" s="324" t="s">
        <v>676</v>
      </c>
      <c r="C559" s="554">
        <f>IF('R6a - Net Debt input'!D266 = "","",'R6a - Net Debt input'!D266)</f>
        <v>40400</v>
      </c>
      <c r="D559" s="554">
        <f>IF('R6a - Net Debt input'!E266 = "","",'R6a - Net Debt input'!E266)</f>
        <v>47861</v>
      </c>
      <c r="E559" s="566" t="str">
        <f>IF('R6a - Net Debt input'!F266 = "","",'R6a - Net Debt input'!F266)</f>
        <v>18.5 YR SWAP: PAY 7.37500% GBP RCV 6M Libor +310 bp GBP 50.0 M MAT: 13-JAN-2031</v>
      </c>
      <c r="F559" s="567"/>
      <c r="G559" s="567"/>
      <c r="H559" s="567"/>
      <c r="I559" s="568"/>
      <c r="L559" s="722"/>
      <c r="M559" s="496">
        <v>0.3</v>
      </c>
      <c r="N559" s="496">
        <v>0</v>
      </c>
      <c r="O559" s="496">
        <v>0</v>
      </c>
      <c r="P559" s="496">
        <v>0</v>
      </c>
      <c r="Q559" s="496">
        <v>0</v>
      </c>
      <c r="R559" s="496">
        <v>0</v>
      </c>
      <c r="S559" s="496">
        <v>0</v>
      </c>
      <c r="T559" s="496">
        <v>0</v>
      </c>
      <c r="U559" s="496">
        <v>0</v>
      </c>
      <c r="V559" s="496">
        <v>0</v>
      </c>
    </row>
    <row r="560" spans="2:22" outlineLevel="1">
      <c r="B560" s="324" t="s">
        <v>677</v>
      </c>
      <c r="C560" s="554">
        <f>IF('R6a - Net Debt input'!D267 = "","",'R6a - Net Debt input'!D267)</f>
        <v>41505</v>
      </c>
      <c r="D560" s="554">
        <f>IF('R6a - Net Debt input'!E267 = "","",'R6a - Net Debt input'!E267)</f>
        <v>47861</v>
      </c>
      <c r="E560" s="566" t="str">
        <f>IF('R6a - Net Debt input'!F267 = "","",'R6a - Net Debt input'!F267)</f>
        <v>15 YR SWAP: PAY 7.37500% GBP RCV 6M Libor +433 bp GBP 167.6 M MAT: 13-JAN-2031</v>
      </c>
      <c r="F560" s="567"/>
      <c r="G560" s="567"/>
      <c r="H560" s="567"/>
      <c r="I560" s="568"/>
      <c r="L560" s="722"/>
      <c r="M560" s="496">
        <v>0.9</v>
      </c>
      <c r="N560" s="496">
        <v>0</v>
      </c>
      <c r="O560" s="496">
        <v>0</v>
      </c>
      <c r="P560" s="496">
        <v>0</v>
      </c>
      <c r="Q560" s="496">
        <v>0</v>
      </c>
      <c r="R560" s="496">
        <v>0</v>
      </c>
      <c r="S560" s="496">
        <v>0</v>
      </c>
      <c r="T560" s="496">
        <v>0</v>
      </c>
      <c r="U560" s="496">
        <v>0</v>
      </c>
      <c r="V560" s="496">
        <v>0</v>
      </c>
    </row>
    <row r="561" spans="2:22" outlineLevel="1">
      <c r="B561" s="324" t="s">
        <v>678</v>
      </c>
      <c r="C561" s="554">
        <f>IF('R6a - Net Debt input'!D268 = "","",'R6a - Net Debt input'!D268)</f>
        <v>41975</v>
      </c>
      <c r="D561" s="554">
        <f>IF('R6a - Net Debt input'!E268 = "","",'R6a - Net Debt input'!E268)</f>
        <v>47861</v>
      </c>
      <c r="E561" s="566" t="str">
        <f>IF('R6a - Net Debt input'!F268 = "","",'R6a - Net Debt input'!F268)</f>
        <v>16.1 YR SWAP: PAY 7.37500% GBP RCV 6M Libor +501 bp GBP 45.0 M MAT: 13-JAN-2031</v>
      </c>
      <c r="F561" s="567"/>
      <c r="G561" s="567"/>
      <c r="H561" s="567"/>
      <c r="I561" s="568"/>
      <c r="L561" s="722"/>
      <c r="M561" s="496">
        <v>0.5</v>
      </c>
      <c r="N561" s="496">
        <v>0</v>
      </c>
      <c r="O561" s="496">
        <v>0</v>
      </c>
      <c r="P561" s="496">
        <v>0</v>
      </c>
      <c r="Q561" s="496">
        <v>0</v>
      </c>
      <c r="R561" s="496">
        <v>0</v>
      </c>
      <c r="S561" s="496">
        <v>0</v>
      </c>
      <c r="T561" s="496">
        <v>0</v>
      </c>
      <c r="U561" s="496">
        <v>0</v>
      </c>
      <c r="V561" s="496">
        <v>0</v>
      </c>
    </row>
    <row r="562" spans="2:22" outlineLevel="1">
      <c r="B562" s="324" t="s">
        <v>679</v>
      </c>
      <c r="C562" s="554">
        <f>IF('R6a - Net Debt input'!D269 = "","",'R6a - Net Debt input'!D269)</f>
        <v>41975</v>
      </c>
      <c r="D562" s="554">
        <f>IF('R6a - Net Debt input'!E269 = "","",'R6a - Net Debt input'!E269)</f>
        <v>47861</v>
      </c>
      <c r="E562" s="566" t="str">
        <f>IF('R6a - Net Debt input'!F269 = "","",'R6a - Net Debt input'!F269)</f>
        <v>16.1 YR SWAP: PAY 7.37500% GBP RCV 6M Libor +501 bp GBP 45.0 M MAT: 13-JAN-2031</v>
      </c>
      <c r="F562" s="567"/>
      <c r="G562" s="567"/>
      <c r="H562" s="567"/>
      <c r="I562" s="568"/>
      <c r="L562" s="722"/>
      <c r="M562" s="496">
        <v>0.5</v>
      </c>
      <c r="N562" s="496">
        <v>0</v>
      </c>
      <c r="O562" s="496">
        <v>0</v>
      </c>
      <c r="P562" s="496">
        <v>0</v>
      </c>
      <c r="Q562" s="496">
        <v>0</v>
      </c>
      <c r="R562" s="496">
        <v>0</v>
      </c>
      <c r="S562" s="496">
        <v>0</v>
      </c>
      <c r="T562" s="496">
        <v>0</v>
      </c>
      <c r="U562" s="496">
        <v>0</v>
      </c>
      <c r="V562" s="496">
        <v>0</v>
      </c>
    </row>
    <row r="563" spans="2:22" outlineLevel="1">
      <c r="B563" s="324" t="s">
        <v>680</v>
      </c>
      <c r="C563" s="554">
        <f>IF('R6a - Net Debt input'!D270 = "","",'R6a - Net Debt input'!D270)</f>
        <v>42354</v>
      </c>
      <c r="D563" s="554">
        <f>IF('R6a - Net Debt input'!E270 = "","",'R6a - Net Debt input'!E270)</f>
        <v>46546</v>
      </c>
      <c r="E563" s="566" t="str">
        <f>IF('R6a - Net Debt input'!F270 = "","",'R6a - Net Debt input'!F270)</f>
        <v>11.5 YR SWAP: PAY 6M Libor +155 bp GBP RCV 4.00000% GBP 21.5 M MAT: 08-JUN-2027</v>
      </c>
      <c r="F563" s="567"/>
      <c r="G563" s="567"/>
      <c r="H563" s="567"/>
      <c r="I563" s="568"/>
      <c r="L563" s="722"/>
      <c r="M563" s="496">
        <v>-0.7</v>
      </c>
      <c r="N563" s="496">
        <v>0</v>
      </c>
      <c r="O563" s="496">
        <v>0</v>
      </c>
      <c r="P563" s="496">
        <v>0</v>
      </c>
      <c r="Q563" s="496">
        <v>0</v>
      </c>
      <c r="R563" s="496">
        <v>0</v>
      </c>
      <c r="S563" s="496">
        <v>0</v>
      </c>
      <c r="T563" s="496">
        <v>0</v>
      </c>
      <c r="U563" s="496">
        <v>0</v>
      </c>
      <c r="V563" s="496">
        <v>0</v>
      </c>
    </row>
    <row r="564" spans="2:22" outlineLevel="1">
      <c r="B564" s="324" t="s">
        <v>681</v>
      </c>
      <c r="C564" s="554">
        <f>IF('R6a - Net Debt input'!D271 = "","",'R6a - Net Debt input'!D271)</f>
        <v>42697</v>
      </c>
      <c r="D564" s="554">
        <f>IF('R6a - Net Debt input'!E271 = "","",'R6a - Net Debt input'!E271)</f>
        <v>46362</v>
      </c>
      <c r="E564" s="566" t="str">
        <f>IF('R6a - Net Debt input'!F271 = "","",'R6a - Net Debt input'!F271)</f>
        <v>10 YR SWAP: PAY 2.04600% GBP RCV 6M Libor +70 bp GBP 100.0 M MAT: 06-DEC-2026</v>
      </c>
      <c r="F564" s="567"/>
      <c r="G564" s="567"/>
      <c r="H564" s="567"/>
      <c r="I564" s="568"/>
      <c r="L564" s="722"/>
      <c r="M564" s="496">
        <v>1.3</v>
      </c>
      <c r="N564" s="496">
        <v>0.19548773999999999</v>
      </c>
      <c r="O564" s="496">
        <v>0</v>
      </c>
      <c r="P564" s="496">
        <v>0</v>
      </c>
      <c r="Q564" s="496">
        <v>0</v>
      </c>
      <c r="R564" s="496">
        <v>0</v>
      </c>
      <c r="S564" s="496">
        <v>0</v>
      </c>
      <c r="T564" s="496">
        <v>0</v>
      </c>
      <c r="U564" s="496">
        <v>0</v>
      </c>
      <c r="V564" s="496">
        <v>0</v>
      </c>
    </row>
    <row r="565" spans="2:22" outlineLevel="1">
      <c r="B565" s="324" t="s">
        <v>682</v>
      </c>
      <c r="C565" s="554">
        <f>IF('R6a - Net Debt input'!D272 = "","",'R6a - Net Debt input'!D272)</f>
        <v>41305</v>
      </c>
      <c r="D565" s="554">
        <f>IF('R6a - Net Debt input'!E272 = "","",'R6a - Net Debt input'!E272)</f>
        <v>45686</v>
      </c>
      <c r="E565" s="566" t="str">
        <f>IF('R6a - Net Debt input'!F272 = "","",'R6a - Net Debt input'!F272)</f>
        <v>12.0 YR SWAP: PAY 3.18000% GBP RCV 6M Libor +83 bp GBP 77.0 M MAT: 29-JAN-2025</v>
      </c>
      <c r="F565" s="567"/>
      <c r="G565" s="567"/>
      <c r="H565" s="567"/>
      <c r="I565" s="568"/>
      <c r="L565" s="722"/>
      <c r="M565" s="496">
        <v>1.8</v>
      </c>
      <c r="N565" s="496">
        <v>0</v>
      </c>
      <c r="O565" s="496">
        <v>0</v>
      </c>
      <c r="P565" s="496">
        <v>0</v>
      </c>
      <c r="Q565" s="496">
        <v>0</v>
      </c>
      <c r="R565" s="496">
        <v>0</v>
      </c>
      <c r="S565" s="496">
        <v>0</v>
      </c>
      <c r="T565" s="496">
        <v>0</v>
      </c>
      <c r="U565" s="496">
        <v>0</v>
      </c>
      <c r="V565" s="496">
        <v>0</v>
      </c>
    </row>
    <row r="566" spans="2:22" outlineLevel="1">
      <c r="B566" s="324" t="s">
        <v>683</v>
      </c>
      <c r="C566" s="554">
        <f>IF('R6a - Net Debt input'!D273 = "","",'R6a - Net Debt input'!D273)</f>
        <v>43718</v>
      </c>
      <c r="D566" s="554">
        <f>IF('R6a - Net Debt input'!E273 = "","",'R6a - Net Debt input'!E273)</f>
        <v>50664</v>
      </c>
      <c r="E566" s="566" t="str">
        <f>IF('R6a - Net Debt input'!F273 = "","",'R6a - Net Debt input'!F273)</f>
        <v>19 YR SWAP: RCV 2.00000% GBP PAY 6M Libor +119 bp GBP 30.0 M MAT: 16-SEP-2038</v>
      </c>
      <c r="F566" s="567"/>
      <c r="G566" s="567"/>
      <c r="H566" s="567"/>
      <c r="I566" s="568"/>
      <c r="L566" s="722"/>
      <c r="M566" s="496">
        <v>-0.4</v>
      </c>
      <c r="N566" s="496">
        <v>0</v>
      </c>
      <c r="O566" s="496">
        <v>0</v>
      </c>
      <c r="P566" s="496">
        <v>0</v>
      </c>
      <c r="Q566" s="496">
        <v>0</v>
      </c>
      <c r="R566" s="496">
        <v>0</v>
      </c>
      <c r="S566" s="496">
        <v>0</v>
      </c>
      <c r="T566" s="496">
        <v>0</v>
      </c>
      <c r="U566" s="496">
        <v>0</v>
      </c>
      <c r="V566" s="496">
        <v>0</v>
      </c>
    </row>
    <row r="567" spans="2:22" outlineLevel="1">
      <c r="B567" s="324" t="s">
        <v>684</v>
      </c>
      <c r="C567" s="554">
        <f>IF('R6a - Net Debt input'!D274 = "","",'R6a - Net Debt input'!D274)</f>
        <v>43843</v>
      </c>
      <c r="D567" s="554">
        <f>IF('R6a - Net Debt input'!E274 = "","",'R6a - Net Debt input'!E274)</f>
        <v>50664</v>
      </c>
      <c r="E567" s="566" t="str">
        <f>IF('R6a - Net Debt input'!F274 = "","",'R6a - Net Debt input'!F274)</f>
        <v>18.7 YR SWAP: RCV 2.00000% GBP PAY 6M Libor +96 bp GBP 30.0 M MAT: 16-SEP-2038</v>
      </c>
      <c r="F567" s="567"/>
      <c r="G567" s="567"/>
      <c r="H567" s="567"/>
      <c r="I567" s="568"/>
      <c r="L567" s="722"/>
      <c r="M567" s="496">
        <v>-0.4</v>
      </c>
      <c r="N567" s="496">
        <v>0</v>
      </c>
      <c r="O567" s="496">
        <v>0</v>
      </c>
      <c r="P567" s="496">
        <v>0</v>
      </c>
      <c r="Q567" s="496">
        <v>0</v>
      </c>
      <c r="R567" s="496">
        <v>0</v>
      </c>
      <c r="S567" s="496">
        <v>0</v>
      </c>
      <c r="T567" s="496">
        <v>0</v>
      </c>
      <c r="U567" s="496">
        <v>0</v>
      </c>
      <c r="V567" s="496">
        <v>0</v>
      </c>
    </row>
    <row r="568" spans="2:22" outlineLevel="1">
      <c r="B568" s="324" t="s">
        <v>685</v>
      </c>
      <c r="C568" s="554">
        <f>IF('R6a - Net Debt input'!D275 = "","",'R6a - Net Debt input'!D275)</f>
        <v>43889</v>
      </c>
      <c r="D568" s="554">
        <f>IF('R6a - Net Debt input'!E275 = "","",'R6a - Net Debt input'!E275)</f>
        <v>49369</v>
      </c>
      <c r="E568" s="566" t="str">
        <f>IF('R6a - Net Debt input'!F275 = "","",'R6a - Net Debt input'!F275)</f>
        <v>16 YR SWAP: PAY 5.00000% GBP RCV 6M Libor +72 bp GBP 7.0 M MAT: 01-MAR-2035</v>
      </c>
      <c r="F568" s="567"/>
      <c r="G568" s="567"/>
      <c r="H568" s="567"/>
      <c r="I568" s="568"/>
      <c r="L568" s="722"/>
      <c r="M568" s="496">
        <v>0.1</v>
      </c>
      <c r="N568" s="496">
        <v>0</v>
      </c>
      <c r="O568" s="496">
        <v>0</v>
      </c>
      <c r="P568" s="496">
        <v>0</v>
      </c>
      <c r="Q568" s="496">
        <v>0</v>
      </c>
      <c r="R568" s="496">
        <v>0</v>
      </c>
      <c r="S568" s="496">
        <v>0</v>
      </c>
      <c r="T568" s="496">
        <v>0</v>
      </c>
      <c r="U568" s="496">
        <v>0</v>
      </c>
      <c r="V568" s="496">
        <v>0</v>
      </c>
    </row>
    <row r="569" spans="2:22" outlineLevel="1">
      <c r="B569" s="324" t="s">
        <v>686</v>
      </c>
      <c r="C569" s="554">
        <f>IF('R6a - Net Debt input'!D276 = "","",'R6a - Net Debt input'!D276)</f>
        <v>43930</v>
      </c>
      <c r="D569" s="554">
        <f>IF('R6a - Net Debt input'!E276 = "","",'R6a - Net Debt input'!E276)</f>
        <v>51243</v>
      </c>
      <c r="E569" s="566" t="str">
        <f>IF('R6a - Net Debt input'!F276 = "","",'R6a - Net Debt input'!F276)</f>
        <v>20 YR SWAP: RCV 2.00000% GBP PAY 6M Libor +139 bp GBP 25.0 M MAT: 17-APR-2040</v>
      </c>
      <c r="F569" s="567"/>
      <c r="G569" s="567"/>
      <c r="H569" s="567"/>
      <c r="I569" s="568"/>
      <c r="L569" s="722"/>
      <c r="M569" s="496">
        <v>-0.4</v>
      </c>
      <c r="N569" s="496">
        <v>0</v>
      </c>
      <c r="O569" s="496">
        <v>0</v>
      </c>
      <c r="P569" s="496">
        <v>0</v>
      </c>
      <c r="Q569" s="496">
        <v>0</v>
      </c>
      <c r="R569" s="496">
        <v>0</v>
      </c>
      <c r="S569" s="496">
        <v>0</v>
      </c>
      <c r="T569" s="496">
        <v>0</v>
      </c>
      <c r="U569" s="496">
        <v>0</v>
      </c>
      <c r="V569" s="496">
        <v>0</v>
      </c>
    </row>
    <row r="570" spans="2:22" outlineLevel="1">
      <c r="B570" s="324" t="s">
        <v>687</v>
      </c>
      <c r="C570" s="554">
        <f>IF('R6a - Net Debt input'!D277 = "","",'R6a - Net Debt input'!D277)</f>
        <v>44005</v>
      </c>
      <c r="D570" s="554">
        <f>IF('R6a - Net Debt input'!E277 = "","",'R6a - Net Debt input'!E277)</f>
        <v>46281</v>
      </c>
      <c r="E570" s="566" t="str">
        <f>IF('R6a - Net Debt input'!F277 = "","",'R6a - Net Debt input'!F277)</f>
        <v>6.2 YR SWAP: RCV 1.37500% GBP PAY 6M Libor +109 bp GBP 35.0 M MAT: 16-SEP-2026</v>
      </c>
      <c r="F570" s="567"/>
      <c r="G570" s="567"/>
      <c r="H570" s="567"/>
      <c r="I570" s="568"/>
      <c r="L570" s="722"/>
      <c r="M570" s="496">
        <v>-0.3</v>
      </c>
      <c r="N570" s="496">
        <v>0</v>
      </c>
      <c r="O570" s="496">
        <v>0</v>
      </c>
      <c r="P570" s="496">
        <v>0</v>
      </c>
      <c r="Q570" s="496">
        <v>0</v>
      </c>
      <c r="R570" s="496">
        <v>0</v>
      </c>
      <c r="S570" s="496">
        <v>0</v>
      </c>
      <c r="T570" s="496">
        <v>0</v>
      </c>
      <c r="U570" s="496">
        <v>0</v>
      </c>
      <c r="V570" s="496">
        <v>0</v>
      </c>
    </row>
    <row r="571" spans="2:22" outlineLevel="1">
      <c r="B571" s="324" t="s">
        <v>688</v>
      </c>
      <c r="C571" s="554">
        <f>IF('R6a - Net Debt input'!D278 = "","",'R6a - Net Debt input'!D278)</f>
        <v>44005</v>
      </c>
      <c r="D571" s="554">
        <f>IF('R6a - Net Debt input'!E278 = "","",'R6a - Net Debt input'!E278)</f>
        <v>46281</v>
      </c>
      <c r="E571" s="566" t="str">
        <f>IF('R6a - Net Debt input'!F278 = "","",'R6a - Net Debt input'!F278)</f>
        <v>6.2 YR SWAP: RCV 1.37500% GBP PAY 6M Libor +109 bp GBP 35.0 M MAT: 16-SEP-2026</v>
      </c>
      <c r="F571" s="567"/>
      <c r="G571" s="567"/>
      <c r="H571" s="567"/>
      <c r="I571" s="568"/>
      <c r="L571" s="722"/>
      <c r="M571" s="496">
        <v>-0.3</v>
      </c>
      <c r="N571" s="496">
        <v>0</v>
      </c>
      <c r="O571" s="496">
        <v>0</v>
      </c>
      <c r="P571" s="496">
        <v>0</v>
      </c>
      <c r="Q571" s="496">
        <v>0</v>
      </c>
      <c r="R571" s="496">
        <v>0</v>
      </c>
      <c r="S571" s="496">
        <v>0</v>
      </c>
      <c r="T571" s="496">
        <v>0</v>
      </c>
      <c r="U571" s="496">
        <v>0</v>
      </c>
      <c r="V571" s="496">
        <v>0</v>
      </c>
    </row>
    <row r="572" spans="2:22" outlineLevel="1">
      <c r="B572" s="324" t="s">
        <v>689</v>
      </c>
      <c r="C572" s="554">
        <f>IF('R6a - Net Debt input'!D279 = "","",'R6a - Net Debt input'!D279)</f>
        <v>44106</v>
      </c>
      <c r="D572" s="554">
        <f>IF('R6a - Net Debt input'!E279 = "","",'R6a - Net Debt input'!E279)</f>
        <v>47861</v>
      </c>
      <c r="E572" s="566" t="str">
        <f>IF('R6a - Net Debt input'!F279 = "","",'R6a - Net Debt input'!F279)</f>
        <v>11 YR SWAP: PAY 7.37500% GBP RCV 6M Libor +304 bp GBP 19.0 M MAT: 13-JAN-2031</v>
      </c>
      <c r="F572" s="567"/>
      <c r="G572" s="567"/>
      <c r="H572" s="567"/>
      <c r="I572" s="568"/>
      <c r="L572" s="722"/>
      <c r="M572" s="496">
        <v>0.4</v>
      </c>
      <c r="N572" s="496">
        <v>0</v>
      </c>
      <c r="O572" s="496">
        <v>0</v>
      </c>
      <c r="P572" s="496">
        <v>0</v>
      </c>
      <c r="Q572" s="496">
        <v>0</v>
      </c>
      <c r="R572" s="496">
        <v>0</v>
      </c>
      <c r="S572" s="496">
        <v>0</v>
      </c>
      <c r="T572" s="496">
        <v>0</v>
      </c>
      <c r="U572" s="496">
        <v>0</v>
      </c>
      <c r="V572" s="496">
        <v>0</v>
      </c>
    </row>
    <row r="573" spans="2:22" outlineLevel="1">
      <c r="B573" s="324" t="s">
        <v>690</v>
      </c>
      <c r="C573" s="554">
        <f>IF('R6a - Net Debt input'!D280 = "","",'R6a - Net Debt input'!D280)</f>
        <v>44106</v>
      </c>
      <c r="D573" s="554">
        <f>IF('R6a - Net Debt input'!E280 = "","",'R6a - Net Debt input'!E280)</f>
        <v>46546</v>
      </c>
      <c r="E573" s="566" t="str">
        <f>IF('R6a - Net Debt input'!F280 = "","",'R6a - Net Debt input'!F280)</f>
        <v>7 YR SWAP: PAY 6M Libor +136 bp GBP RCV 4.00000% GBP 50.0 M MAT: 08-JUN-2027</v>
      </c>
      <c r="F573" s="567"/>
      <c r="G573" s="567"/>
      <c r="H573" s="567"/>
      <c r="I573" s="568"/>
      <c r="L573" s="722"/>
      <c r="M573" s="496">
        <v>-0.5</v>
      </c>
      <c r="N573" s="496">
        <v>0</v>
      </c>
      <c r="O573" s="496">
        <v>0</v>
      </c>
      <c r="P573" s="496">
        <v>0</v>
      </c>
      <c r="Q573" s="496">
        <v>0</v>
      </c>
      <c r="R573" s="496">
        <v>0</v>
      </c>
      <c r="S573" s="496">
        <v>0</v>
      </c>
      <c r="T573" s="496">
        <v>0</v>
      </c>
      <c r="U573" s="496">
        <v>0</v>
      </c>
      <c r="V573" s="496">
        <v>0</v>
      </c>
    </row>
    <row r="574" spans="2:22" outlineLevel="1">
      <c r="B574" s="324" t="s">
        <v>691</v>
      </c>
      <c r="C574" s="554">
        <f>IF('R6a - Net Debt input'!D281 = "","",'R6a - Net Debt input'!D281)</f>
        <v>44106</v>
      </c>
      <c r="D574" s="554">
        <f>IF('R6a - Net Debt input'!E281 = "","",'R6a - Net Debt input'!E281)</f>
        <v>46546</v>
      </c>
      <c r="E574" s="566" t="str">
        <f>IF('R6a - Net Debt input'!F281 = "","",'R6a - Net Debt input'!F281)</f>
        <v>7 YR SWAP: PAY 6M Libor +135 bp GBP RCV 4.00000% GBP 43.0 M MAT: 08-JUN-2027</v>
      </c>
      <c r="F574" s="567"/>
      <c r="G574" s="567"/>
      <c r="H574" s="567"/>
      <c r="I574" s="568"/>
      <c r="L574" s="722"/>
      <c r="M574" s="496">
        <v>-1.4</v>
      </c>
      <c r="N574" s="496">
        <v>0</v>
      </c>
      <c r="O574" s="496">
        <v>0</v>
      </c>
      <c r="P574" s="496">
        <v>0</v>
      </c>
      <c r="Q574" s="496">
        <v>0</v>
      </c>
      <c r="R574" s="496">
        <v>0</v>
      </c>
      <c r="S574" s="496">
        <v>0</v>
      </c>
      <c r="T574" s="496">
        <v>0</v>
      </c>
      <c r="U574" s="496">
        <v>0</v>
      </c>
      <c r="V574" s="496">
        <v>0</v>
      </c>
    </row>
    <row r="575" spans="2:22" outlineLevel="1">
      <c r="B575" s="324" t="s">
        <v>692</v>
      </c>
      <c r="C575" s="554">
        <f>IF('R6a - Net Debt input'!D282 = "","",'R6a - Net Debt input'!D282)</f>
        <v>44106</v>
      </c>
      <c r="D575" s="554">
        <f>IF('R6a - Net Debt input'!E282 = "","",'R6a - Net Debt input'!E282)</f>
        <v>46546</v>
      </c>
      <c r="E575" s="566" t="str">
        <f>IF('R6a - Net Debt input'!F282 = "","",'R6a - Net Debt input'!F282)</f>
        <v>7 YR SWAP: PAY 6M Libor +158 bp GBP RCV 4.00000% GBP 10.8 M MAT: 08-JUN-2027</v>
      </c>
      <c r="F575" s="567"/>
      <c r="G575" s="567"/>
      <c r="H575" s="567"/>
      <c r="I575" s="568"/>
      <c r="L575" s="722"/>
      <c r="M575" s="496">
        <v>-0.3</v>
      </c>
      <c r="N575" s="496">
        <v>0</v>
      </c>
      <c r="O575" s="496">
        <v>0</v>
      </c>
      <c r="P575" s="496">
        <v>0</v>
      </c>
      <c r="Q575" s="496">
        <v>0</v>
      </c>
      <c r="R575" s="496">
        <v>0</v>
      </c>
      <c r="S575" s="496">
        <v>0</v>
      </c>
      <c r="T575" s="496">
        <v>0</v>
      </c>
      <c r="U575" s="496">
        <v>0</v>
      </c>
      <c r="V575" s="496">
        <v>0</v>
      </c>
    </row>
    <row r="576" spans="2:22" outlineLevel="1">
      <c r="B576" s="324" t="s">
        <v>693</v>
      </c>
      <c r="C576" s="554">
        <f>IF('R6a - Net Debt input'!D283 = "","",'R6a - Net Debt input'!D283)</f>
        <v>44106</v>
      </c>
      <c r="D576" s="554">
        <f>IF('R6a - Net Debt input'!E283 = "","",'R6a - Net Debt input'!E283)</f>
        <v>46546</v>
      </c>
      <c r="E576" s="566" t="str">
        <f>IF('R6a - Net Debt input'!F283 = "","",'R6a - Net Debt input'!F283)</f>
        <v>7 YR SWAP: PAY 6M Libor +164 bp GBP RCV 4.00000% GBP 21.5 M MAT: 08-JUN-2027</v>
      </c>
      <c r="F576" s="567"/>
      <c r="G576" s="567"/>
      <c r="H576" s="567"/>
      <c r="I576" s="568"/>
      <c r="L576" s="722"/>
      <c r="M576" s="496">
        <v>-0.7</v>
      </c>
      <c r="N576" s="496">
        <v>0</v>
      </c>
      <c r="O576" s="496">
        <v>0</v>
      </c>
      <c r="P576" s="496">
        <v>0</v>
      </c>
      <c r="Q576" s="496">
        <v>0</v>
      </c>
      <c r="R576" s="496">
        <v>0</v>
      </c>
      <c r="S576" s="496">
        <v>0</v>
      </c>
      <c r="T576" s="496">
        <v>0</v>
      </c>
      <c r="U576" s="496">
        <v>0</v>
      </c>
      <c r="V576" s="496">
        <v>0</v>
      </c>
    </row>
    <row r="577" spans="2:22" outlineLevel="1">
      <c r="B577" s="324" t="s">
        <v>694</v>
      </c>
      <c r="C577" s="554">
        <f>IF('R6a - Net Debt input'!D284 = "","",'R6a - Net Debt input'!D284)</f>
        <v>43929</v>
      </c>
      <c r="D577" s="554">
        <f>IF('R6a - Net Debt input'!E284 = "","",'R6a - Net Debt input'!E284)</f>
        <v>49346</v>
      </c>
      <c r="E577" s="566" t="str">
        <f>IF('R6a - Net Debt input'!F284 = "","",'R6a - Net Debt input'!F284)</f>
        <v>14.8 YR SWAP: RCV 2.75000% GBP PAY 6M Libor +209 bp GBP 25.0 M MAT: 06-FEB-2035</v>
      </c>
      <c r="F577" s="567"/>
      <c r="G577" s="567"/>
      <c r="H577" s="567"/>
      <c r="I577" s="568"/>
      <c r="L577" s="722"/>
      <c r="M577" s="496">
        <v>-0.1</v>
      </c>
      <c r="N577" s="496">
        <v>0</v>
      </c>
      <c r="O577" s="496">
        <v>0</v>
      </c>
      <c r="P577" s="496">
        <v>0</v>
      </c>
      <c r="Q577" s="496">
        <v>0</v>
      </c>
      <c r="R577" s="496">
        <v>0</v>
      </c>
      <c r="S577" s="496">
        <v>0</v>
      </c>
      <c r="T577" s="496">
        <v>0</v>
      </c>
      <c r="U577" s="496">
        <v>0</v>
      </c>
      <c r="V577" s="496">
        <v>0</v>
      </c>
    </row>
    <row r="578" spans="2:22" outlineLevel="1">
      <c r="B578" s="324" t="s">
        <v>695</v>
      </c>
      <c r="C578" s="554">
        <f>IF('R6a - Net Debt input'!D285 = "","",'R6a - Net Debt input'!D285)</f>
        <v>43929</v>
      </c>
      <c r="D578" s="554">
        <f>IF('R6a - Net Debt input'!E285 = "","",'R6a - Net Debt input'!E285)</f>
        <v>49346</v>
      </c>
      <c r="E578" s="566" t="str">
        <f>IF('R6a - Net Debt input'!F285 = "","",'R6a - Net Debt input'!F285)</f>
        <v>14.8 YR SWAP: RCV 2.75000% GBP PAY 6M Libor +207 bp GBP 25.0 M MAT: 06-FEB-2035</v>
      </c>
      <c r="F578" s="567"/>
      <c r="G578" s="567"/>
      <c r="H578" s="567"/>
      <c r="I578" s="568"/>
      <c r="L578" s="722"/>
      <c r="M578" s="496">
        <v>-0.1</v>
      </c>
      <c r="N578" s="496">
        <v>0</v>
      </c>
      <c r="O578" s="496">
        <v>0</v>
      </c>
      <c r="P578" s="496">
        <v>0</v>
      </c>
      <c r="Q578" s="496">
        <v>0</v>
      </c>
      <c r="R578" s="496">
        <v>0</v>
      </c>
      <c r="S578" s="496">
        <v>0</v>
      </c>
      <c r="T578" s="496">
        <v>0</v>
      </c>
      <c r="U578" s="496">
        <v>0</v>
      </c>
      <c r="V578" s="496">
        <v>0</v>
      </c>
    </row>
    <row r="579" spans="2:22" outlineLevel="1">
      <c r="B579" s="324" t="s">
        <v>696</v>
      </c>
      <c r="C579" s="554">
        <f>IF('R6a - Net Debt input'!D286 = "","",'R6a - Net Debt input'!D286)</f>
        <v>43929</v>
      </c>
      <c r="D579" s="554">
        <f>IF('R6a - Net Debt input'!E286 = "","",'R6a - Net Debt input'!E286)</f>
        <v>50664</v>
      </c>
      <c r="E579" s="566" t="str">
        <f>IF('R6a - Net Debt input'!F286 = "","",'R6a - Net Debt input'!F286)</f>
        <v>18.4 YR SWAP: RCV 2.00000% GBP PAY 6M Libor +133 bp GBP 25.0 M MAT: 16-SEP-2038</v>
      </c>
      <c r="F579" s="567"/>
      <c r="G579" s="567"/>
      <c r="H579" s="567"/>
      <c r="I579" s="568"/>
      <c r="L579" s="722"/>
      <c r="M579" s="496">
        <v>-0.3</v>
      </c>
      <c r="N579" s="496">
        <v>0</v>
      </c>
      <c r="O579" s="496">
        <v>0</v>
      </c>
      <c r="P579" s="496">
        <v>0</v>
      </c>
      <c r="Q579" s="496">
        <v>0</v>
      </c>
      <c r="R579" s="496">
        <v>0</v>
      </c>
      <c r="S579" s="496">
        <v>0</v>
      </c>
      <c r="T579" s="496">
        <v>0</v>
      </c>
      <c r="U579" s="496">
        <v>0</v>
      </c>
      <c r="V579" s="496">
        <v>0</v>
      </c>
    </row>
    <row r="580" spans="2:22" outlineLevel="1">
      <c r="B580" s="324" t="s">
        <v>697</v>
      </c>
      <c r="C580" s="554">
        <f>IF('R6a - Net Debt input'!D287 = "","",'R6a - Net Debt input'!D287)</f>
        <v>43929</v>
      </c>
      <c r="D580" s="554">
        <f>IF('R6a - Net Debt input'!E287 = "","",'R6a - Net Debt input'!E287)</f>
        <v>50664</v>
      </c>
      <c r="E580" s="566" t="str">
        <f>IF('R6a - Net Debt input'!F287 = "","",'R6a - Net Debt input'!F287)</f>
        <v>18.4 YR SWAP: RCV 2.00000% GBP PAY 6M Libor +132 bp GBP 25.0 M MAT: 16-SEP-2038</v>
      </c>
      <c r="F580" s="567"/>
      <c r="G580" s="567"/>
      <c r="H580" s="567"/>
      <c r="I580" s="568"/>
      <c r="L580" s="722"/>
      <c r="M580" s="496">
        <v>-0.3</v>
      </c>
      <c r="N580" s="496">
        <v>0</v>
      </c>
      <c r="O580" s="496">
        <v>0</v>
      </c>
      <c r="P580" s="496">
        <v>0</v>
      </c>
      <c r="Q580" s="496">
        <v>0</v>
      </c>
      <c r="R580" s="496">
        <v>0</v>
      </c>
      <c r="S580" s="496">
        <v>0</v>
      </c>
      <c r="T580" s="496">
        <v>0</v>
      </c>
      <c r="U580" s="496">
        <v>0</v>
      </c>
      <c r="V580" s="496">
        <v>0</v>
      </c>
    </row>
    <row r="581" spans="2:22" outlineLevel="1">
      <c r="B581" s="324" t="s">
        <v>698</v>
      </c>
      <c r="C581" s="554">
        <f>IF('R6a - Net Debt input'!D288 = "","",'R6a - Net Debt input'!D288)</f>
        <v>44028</v>
      </c>
      <c r="D581" s="554">
        <f>IF('R6a - Net Debt input'!E288 = "","",'R6a - Net Debt input'!E288)</f>
        <v>46961</v>
      </c>
      <c r="E581" s="566" t="str">
        <f>IF('R6a - Net Debt input'!F288 = "","",'R6a - Net Debt input'!F288)</f>
        <v>8 YR SWAP: RCV 1.04450% GBP PAY 6M Libor +76 bp GBP 100.0 M MAT: 27-JUL-2028</v>
      </c>
      <c r="F581" s="567"/>
      <c r="G581" s="567"/>
      <c r="H581" s="567"/>
      <c r="I581" s="568"/>
      <c r="L581" s="722"/>
      <c r="M581" s="496">
        <v>-0.7</v>
      </c>
      <c r="N581" s="496">
        <v>0</v>
      </c>
      <c r="O581" s="496">
        <v>0</v>
      </c>
      <c r="P581" s="496">
        <v>0</v>
      </c>
      <c r="Q581" s="496">
        <v>0</v>
      </c>
      <c r="R581" s="496">
        <v>0</v>
      </c>
      <c r="S581" s="496">
        <v>0</v>
      </c>
      <c r="T581" s="496">
        <v>0</v>
      </c>
      <c r="U581" s="496">
        <v>0</v>
      </c>
      <c r="V581" s="496">
        <v>0</v>
      </c>
    </row>
    <row r="582" spans="2:22" outlineLevel="1">
      <c r="B582" s="324" t="s">
        <v>699</v>
      </c>
      <c r="C582" s="554">
        <f>IF('R6a - Net Debt input'!D289 = "","",'R6a - Net Debt input'!D289)</f>
        <v>44106</v>
      </c>
      <c r="D582" s="554">
        <f>IF('R6a - Net Debt input'!E289 = "","",'R6a - Net Debt input'!E289)</f>
        <v>49339</v>
      </c>
      <c r="E582" s="566" t="str">
        <f>IF('R6a - Net Debt input'!F289 = "","",'R6a - Net Debt input'!F289)</f>
        <v>14.5 YR SWAP: PAY 4.01600% GBP RCV 6M Libor +101 bp GBP 48.0 M MAT: 30-JAN-2035</v>
      </c>
      <c r="F582" s="567"/>
      <c r="G582" s="567"/>
      <c r="H582" s="567"/>
      <c r="I582" s="568"/>
      <c r="L582" s="722"/>
      <c r="M582" s="496">
        <v>1.4</v>
      </c>
      <c r="N582" s="496">
        <v>0</v>
      </c>
      <c r="O582" s="496">
        <v>0</v>
      </c>
      <c r="P582" s="496">
        <v>0</v>
      </c>
      <c r="Q582" s="496">
        <v>0</v>
      </c>
      <c r="R582" s="496">
        <v>0</v>
      </c>
      <c r="S582" s="496">
        <v>0</v>
      </c>
      <c r="T582" s="496">
        <v>0</v>
      </c>
      <c r="U582" s="496">
        <v>0</v>
      </c>
      <c r="V582" s="496">
        <v>0</v>
      </c>
    </row>
    <row r="583" spans="2:22" outlineLevel="1">
      <c r="B583" s="324" t="s">
        <v>700</v>
      </c>
      <c r="C583" s="554">
        <f>IF('R6a - Net Debt input'!D290 = "","",'R6a - Net Debt input'!D290)</f>
        <v>44321</v>
      </c>
      <c r="D583" s="554">
        <f>IF('R6a - Net Debt input'!E290 = "","",'R6a - Net Debt input'!E290)</f>
        <v>49346</v>
      </c>
      <c r="E583" s="566" t="str">
        <f>IF('R6a - Net Debt input'!F290 = "","",'R6a - Net Debt input'!F290)</f>
        <v>14 YR SWAP: RCV 2.75000% GBP PAY 1D SONIA +236 bp GBP 25.0 M MAT: 06-FEB-2035</v>
      </c>
      <c r="F583" s="567"/>
      <c r="G583" s="567"/>
      <c r="H583" s="567"/>
      <c r="I583" s="568"/>
      <c r="L583" s="722"/>
      <c r="M583" s="496">
        <v>-0.4</v>
      </c>
      <c r="N583" s="496">
        <v>0.27037946000000002</v>
      </c>
      <c r="O583" s="496">
        <v>0.50757255999999995</v>
      </c>
      <c r="P583" s="496">
        <v>0.40990736999999999</v>
      </c>
      <c r="Q583" s="496">
        <v>0.34182294000000002</v>
      </c>
      <c r="R583" s="496">
        <v>0.30319351</v>
      </c>
      <c r="S583" s="496">
        <v>0.26777323999999997</v>
      </c>
      <c r="T583" s="496">
        <v>0.24484628</v>
      </c>
      <c r="U583" s="496">
        <v>0.24591925000000001</v>
      </c>
      <c r="V583" s="496">
        <v>0.25391493999999998</v>
      </c>
    </row>
    <row r="584" spans="2:22" outlineLevel="1">
      <c r="B584" s="324" t="s">
        <v>701</v>
      </c>
      <c r="C584" s="554">
        <f>IF('R6a - Net Debt input'!D291 = "","",'R6a - Net Debt input'!D291)</f>
        <v>44321</v>
      </c>
      <c r="D584" s="554">
        <f>IF('R6a - Net Debt input'!E291 = "","",'R6a - Net Debt input'!E291)</f>
        <v>49346</v>
      </c>
      <c r="E584" s="566" t="str">
        <f>IF('R6a - Net Debt input'!F291 = "","",'R6a - Net Debt input'!F291)</f>
        <v>14 YR SWAP: RCV 2.75000% GBP PAY 1D SONIA +235 bp GBP 25.0 M MAT: 06-FEB-2035</v>
      </c>
      <c r="F584" s="567"/>
      <c r="G584" s="567"/>
      <c r="H584" s="567"/>
      <c r="I584" s="568"/>
      <c r="L584" s="722"/>
      <c r="M584" s="496">
        <v>-0.4</v>
      </c>
      <c r="N584" s="496">
        <v>0.26693890999999997</v>
      </c>
      <c r="O584" s="496">
        <v>0.50411309999999998</v>
      </c>
      <c r="P584" s="496">
        <v>0.40645737999999998</v>
      </c>
      <c r="Q584" s="496">
        <v>0.33837294000000001</v>
      </c>
      <c r="R584" s="496">
        <v>0.2997435</v>
      </c>
      <c r="S584" s="496">
        <v>0.26431378000000005</v>
      </c>
      <c r="T584" s="496">
        <v>0.24139627</v>
      </c>
      <c r="U584" s="496">
        <v>0.24246924</v>
      </c>
      <c r="V584" s="496">
        <v>0.25046492999999997</v>
      </c>
    </row>
    <row r="585" spans="2:22" outlineLevel="1">
      <c r="B585" s="324" t="s">
        <v>702</v>
      </c>
      <c r="C585" s="554">
        <f>IF('R6a - Net Debt input'!D292 = "","",'R6a - Net Debt input'!D292)</f>
        <v>44321</v>
      </c>
      <c r="D585" s="554">
        <f>IF('R6a - Net Debt input'!E292 = "","",'R6a - Net Debt input'!E292)</f>
        <v>51243</v>
      </c>
      <c r="E585" s="566" t="str">
        <f>IF('R6a - Net Debt input'!F292 = "","",'R6a - Net Debt input'!F292)</f>
        <v>19 YR SWAP: RCV 2.00000% GBP PAY 1D SONIA +166 bp GBP 25.0 M MAT: 17-APR-2040</v>
      </c>
      <c r="F585" s="567"/>
      <c r="G585" s="567"/>
      <c r="H585" s="567"/>
      <c r="I585" s="568"/>
      <c r="L585" s="722"/>
      <c r="M585" s="496">
        <v>0</v>
      </c>
      <c r="N585" s="496">
        <v>0.30524479999999998</v>
      </c>
      <c r="O585" s="496">
        <v>0.51080773999999995</v>
      </c>
      <c r="P585" s="496">
        <v>0.41889442999999998</v>
      </c>
      <c r="Q585" s="496">
        <v>0.35256873999999999</v>
      </c>
      <c r="R585" s="496">
        <v>0.31617972999999999</v>
      </c>
      <c r="S585" s="496">
        <v>0.28126321000000004</v>
      </c>
      <c r="T585" s="496">
        <v>0.25423024</v>
      </c>
      <c r="U585" s="496">
        <v>0.25876079000000002</v>
      </c>
      <c r="V585" s="496">
        <v>0.26677453000000001</v>
      </c>
    </row>
    <row r="586" spans="2:22" outlineLevel="1">
      <c r="B586" s="324" t="s">
        <v>703</v>
      </c>
      <c r="C586" s="554">
        <f>IF('R6a - Net Debt input'!D293 = "","",'R6a - Net Debt input'!D293)</f>
        <v>44321</v>
      </c>
      <c r="D586" s="554">
        <f>IF('R6a - Net Debt input'!E293 = "","",'R6a - Net Debt input'!E293)</f>
        <v>46546</v>
      </c>
      <c r="E586" s="566" t="str">
        <f>IF('R6a - Net Debt input'!F293 = "","",'R6a - Net Debt input'!F293)</f>
        <v>6 YR SWAP: PAY 1D SONIA +180 bp GBP RCV 4.00000% GBP 21.5 M MAT: 08-JUN-2027</v>
      </c>
      <c r="F586" s="567"/>
      <c r="G586" s="567"/>
      <c r="H586" s="567"/>
      <c r="I586" s="568"/>
      <c r="L586" s="722"/>
      <c r="M586" s="496">
        <v>0.2</v>
      </c>
      <c r="N586" s="496">
        <v>-0.1481886</v>
      </c>
      <c r="O586" s="496">
        <v>3.5947920000000001E-2</v>
      </c>
      <c r="P586" s="496">
        <v>-3.7359300000000005E-2</v>
      </c>
      <c r="Q586" s="496">
        <v>-9.5616289999999993E-2</v>
      </c>
      <c r="R586" s="496">
        <v>-0.12894255999999998</v>
      </c>
      <c r="S586" s="496">
        <v>-2.6532299999999998E-2</v>
      </c>
      <c r="T586" s="496">
        <v>0</v>
      </c>
      <c r="U586" s="496">
        <v>0</v>
      </c>
      <c r="V586" s="496">
        <v>0</v>
      </c>
    </row>
    <row r="587" spans="2:22" outlineLevel="1">
      <c r="B587" s="324" t="s">
        <v>704</v>
      </c>
      <c r="C587" s="554">
        <f>IF('R6a - Net Debt input'!D294 = "","",'R6a - Net Debt input'!D294)</f>
        <v>44321</v>
      </c>
      <c r="D587" s="554">
        <f>IF('R6a - Net Debt input'!E294 = "","",'R6a - Net Debt input'!E294)</f>
        <v>46546</v>
      </c>
      <c r="E587" s="566" t="str">
        <f>IF('R6a - Net Debt input'!F294 = "","",'R6a - Net Debt input'!F294)</f>
        <v>6 YR SWAP: PAY 1D SONIA +161 bp GBP RCV 4.00000% GBP 15.0 M MAT: 08-JUN-2027</v>
      </c>
      <c r="F587" s="567"/>
      <c r="G587" s="567"/>
      <c r="H587" s="567"/>
      <c r="I587" s="568"/>
      <c r="L587" s="722"/>
      <c r="M587" s="496">
        <v>0.1</v>
      </c>
      <c r="N587" s="496">
        <v>-0.13218327999999999</v>
      </c>
      <c r="O587" s="496">
        <v>-3.8741599999999998E-3</v>
      </c>
      <c r="P587" s="496">
        <v>-5.4939629999999996E-2</v>
      </c>
      <c r="Q587" s="496">
        <v>-9.558403E-2</v>
      </c>
      <c r="R587" s="496">
        <v>-0.11883492999999999</v>
      </c>
      <c r="S587" s="496">
        <v>-2.396947E-2</v>
      </c>
      <c r="T587" s="496">
        <v>0</v>
      </c>
      <c r="U587" s="496">
        <v>0</v>
      </c>
      <c r="V587" s="496">
        <v>0</v>
      </c>
    </row>
    <row r="588" spans="2:22" outlineLevel="1">
      <c r="B588" s="324" t="s">
        <v>705</v>
      </c>
      <c r="C588" s="554">
        <f>IF('R6a - Net Debt input'!D295 = "","",'R6a - Net Debt input'!D295)</f>
        <v>44321</v>
      </c>
      <c r="D588" s="554">
        <f>IF('R6a - Net Debt input'!E295 = "","",'R6a - Net Debt input'!E295)</f>
        <v>46546</v>
      </c>
      <c r="E588" s="566" t="str">
        <f>IF('R6a - Net Debt input'!F295 = "","",'R6a - Net Debt input'!F295)</f>
        <v>6 YR SWAP: PAY 1D SONIA +159 bp GBP RCV 4.00000% GBP 43.0 M MAT: 08-JUN-2027</v>
      </c>
      <c r="F588" s="567"/>
      <c r="G588" s="567"/>
      <c r="H588" s="567"/>
      <c r="I588" s="568"/>
      <c r="L588" s="722"/>
      <c r="M588" s="496">
        <v>0.4</v>
      </c>
      <c r="N588" s="496">
        <v>-0.38338517999999999</v>
      </c>
      <c r="O588" s="496">
        <v>-1.55902E-2</v>
      </c>
      <c r="P588" s="496">
        <v>-0.16196560999999998</v>
      </c>
      <c r="Q588" s="496">
        <v>-0.27847958</v>
      </c>
      <c r="R588" s="496">
        <v>-0.34513212999999998</v>
      </c>
      <c r="S588" s="496">
        <v>-6.9557859999999999E-2</v>
      </c>
      <c r="T588" s="496">
        <v>0</v>
      </c>
      <c r="U588" s="496">
        <v>0</v>
      </c>
      <c r="V588" s="496">
        <v>0</v>
      </c>
    </row>
    <row r="589" spans="2:22" outlineLevel="1">
      <c r="B589" s="324" t="s">
        <v>706</v>
      </c>
      <c r="C589" s="554">
        <f>IF('R6a - Net Debt input'!D296 = "","",'R6a - Net Debt input'!D296)</f>
        <v>44321</v>
      </c>
      <c r="D589" s="554">
        <f>IF('R6a - Net Debt input'!E296 = "","",'R6a - Net Debt input'!E296)</f>
        <v>46546</v>
      </c>
      <c r="E589" s="566" t="str">
        <f>IF('R6a - Net Debt input'!F296 = "","",'R6a - Net Debt input'!F296)</f>
        <v>6 YR SWAP: PAY 1D SONIA +182 bp GBP RCV 4.00000% GBP 10.8 M MAT: 08-JUN-2027</v>
      </c>
      <c r="F589" s="567"/>
      <c r="G589" s="567"/>
      <c r="H589" s="567"/>
      <c r="I589" s="568"/>
      <c r="L589" s="722"/>
      <c r="M589" s="496">
        <v>0.1</v>
      </c>
      <c r="N589" s="496">
        <v>-7.1467759999999991E-2</v>
      </c>
      <c r="O589" s="496">
        <v>2.061493E-2</v>
      </c>
      <c r="P589" s="496">
        <v>-1.6045899999999998E-2</v>
      </c>
      <c r="Q589" s="496">
        <v>-4.5174400000000003E-2</v>
      </c>
      <c r="R589" s="496">
        <v>-6.1837530000000002E-2</v>
      </c>
      <c r="S589" s="496">
        <v>-1.276826E-2</v>
      </c>
      <c r="T589" s="496">
        <v>0</v>
      </c>
      <c r="U589" s="496">
        <v>0</v>
      </c>
      <c r="V589" s="496">
        <v>0</v>
      </c>
    </row>
    <row r="590" spans="2:22" outlineLevel="1">
      <c r="B590" s="324" t="s">
        <v>707</v>
      </c>
      <c r="C590" s="554">
        <f>IF('R6a - Net Debt input'!D297 = "","",'R6a - Net Debt input'!D297)</f>
        <v>44321</v>
      </c>
      <c r="D590" s="554">
        <f>IF('R6a - Net Debt input'!E297 = "","",'R6a - Net Debt input'!E297)</f>
        <v>46546</v>
      </c>
      <c r="E590" s="566" t="str">
        <f>IF('R6a - Net Debt input'!F297 = "","",'R6a - Net Debt input'!F297)</f>
        <v>6 YR SWAP: PAY 1D SONIA +189 bp GBP RCV 4.00000% GBP 21.5 M MAT: 08-JUN-2027</v>
      </c>
      <c r="F590" s="567"/>
      <c r="G590" s="567"/>
      <c r="H590" s="567"/>
      <c r="I590" s="568"/>
      <c r="L590" s="722"/>
      <c r="M590" s="496">
        <v>0.2</v>
      </c>
      <c r="N590" s="496">
        <v>-0.12895593999999999</v>
      </c>
      <c r="O590" s="496">
        <v>5.5286260000000004E-2</v>
      </c>
      <c r="P590" s="496">
        <v>-1.8073800000000001E-2</v>
      </c>
      <c r="Q590" s="496">
        <v>-7.6330789999999996E-2</v>
      </c>
      <c r="R590" s="496">
        <v>-0.10965707000000001</v>
      </c>
      <c r="S590" s="496">
        <v>-2.288654E-2</v>
      </c>
      <c r="T590" s="496">
        <v>0</v>
      </c>
      <c r="U590" s="496">
        <v>0</v>
      </c>
      <c r="V590" s="496">
        <v>0</v>
      </c>
    </row>
    <row r="591" spans="2:22" outlineLevel="1">
      <c r="B591" s="324" t="s">
        <v>708</v>
      </c>
      <c r="C591" s="554">
        <f>IF('R6a - Net Debt input'!D298 = "","",'R6a - Net Debt input'!D298)</f>
        <v>44321</v>
      </c>
      <c r="D591" s="554">
        <f>IF('R6a - Net Debt input'!E298 = "","",'R6a - Net Debt input'!E298)</f>
        <v>46281</v>
      </c>
      <c r="E591" s="566" t="str">
        <f>IF('R6a - Net Debt input'!F298 = "","",'R6a - Net Debt input'!F298)</f>
        <v>5 YR SWAP: RCV 1.37500% GBP PAY 1D SONIA +135 bp GBP 35.0 M MAT: 16-SEP-2026</v>
      </c>
      <c r="F591" s="567"/>
      <c r="G591" s="567"/>
      <c r="H591" s="567"/>
      <c r="I591" s="568"/>
      <c r="L591" s="722"/>
      <c r="M591" s="496">
        <v>0.3</v>
      </c>
      <c r="N591" s="496">
        <v>0.51971586000000003</v>
      </c>
      <c r="O591" s="496">
        <v>0.84087378000000002</v>
      </c>
      <c r="P591" s="496">
        <v>0.69655528</v>
      </c>
      <c r="Q591" s="496">
        <v>0.60243201000000002</v>
      </c>
      <c r="R591" s="496">
        <v>0.25769953000000001</v>
      </c>
      <c r="S591" s="496">
        <v>0</v>
      </c>
      <c r="T591" s="496">
        <v>0</v>
      </c>
      <c r="U591" s="496">
        <v>0</v>
      </c>
      <c r="V591" s="496">
        <v>0</v>
      </c>
    </row>
    <row r="592" spans="2:22" outlineLevel="1">
      <c r="B592" s="324" t="s">
        <v>709</v>
      </c>
      <c r="C592" s="554">
        <f>IF('R6a - Net Debt input'!D299 = "","",'R6a - Net Debt input'!D299)</f>
        <v>44321</v>
      </c>
      <c r="D592" s="554">
        <f>IF('R6a - Net Debt input'!E299 = "","",'R6a - Net Debt input'!E299)</f>
        <v>46281</v>
      </c>
      <c r="E592" s="566" t="str">
        <f>IF('R6a - Net Debt input'!F299 = "","",'R6a - Net Debt input'!F299)</f>
        <v>5 YR SWAP: RCV 1.37500% GBP PAY 1D SONIA +135 bp GBP 35.0 M MAT: 16-SEP-2026</v>
      </c>
      <c r="F592" s="567"/>
      <c r="G592" s="567"/>
      <c r="H592" s="567"/>
      <c r="I592" s="568"/>
      <c r="L592" s="722"/>
      <c r="M592" s="496">
        <v>0.3</v>
      </c>
      <c r="N592" s="496">
        <v>0.52132146000000001</v>
      </c>
      <c r="O592" s="496">
        <v>0.84248818999999997</v>
      </c>
      <c r="P592" s="496">
        <v>0.69816528</v>
      </c>
      <c r="Q592" s="496">
        <v>0.60404202000000007</v>
      </c>
      <c r="R592" s="496">
        <v>0.25844498999999999</v>
      </c>
      <c r="S592" s="496">
        <v>0</v>
      </c>
      <c r="T592" s="496">
        <v>0</v>
      </c>
      <c r="U592" s="496">
        <v>0</v>
      </c>
      <c r="V592" s="496">
        <v>0</v>
      </c>
    </row>
    <row r="593" spans="2:22" outlineLevel="1">
      <c r="B593" s="324" t="s">
        <v>710</v>
      </c>
      <c r="C593" s="554">
        <f>IF('R6a - Net Debt input'!D300 = "","",'R6a - Net Debt input'!D300)</f>
        <v>44358</v>
      </c>
      <c r="D593" s="554">
        <f>IF('R6a - Net Debt input'!E300 = "","",'R6a - Net Debt input'!E300)</f>
        <v>50664</v>
      </c>
      <c r="E593" s="566" t="str">
        <f>IF('R6a - Net Debt input'!F300 = "","",'R6a - Net Debt input'!F300)</f>
        <v>17 YR SWAP: RCV 2.00000% GBP PAY 1D SONIA +147 bp GBP 30.0 M MAT: 16-SEP-2038</v>
      </c>
      <c r="F593" s="567"/>
      <c r="G593" s="567"/>
      <c r="H593" s="567"/>
      <c r="I593" s="568"/>
      <c r="L593" s="722"/>
      <c r="M593" s="496">
        <v>0.2</v>
      </c>
      <c r="N593" s="496">
        <v>0.29525342999999998</v>
      </c>
      <c r="O593" s="496">
        <v>0.56991347999999997</v>
      </c>
      <c r="P593" s="496">
        <v>0.44679346000000003</v>
      </c>
      <c r="Q593" s="496">
        <v>0.36567071000000001</v>
      </c>
      <c r="R593" s="496">
        <v>0.32208017</v>
      </c>
      <c r="S593" s="496">
        <v>0.27879725999999999</v>
      </c>
      <c r="T593" s="496">
        <v>0.24897263</v>
      </c>
      <c r="U593" s="496">
        <v>0.25281966</v>
      </c>
      <c r="V593" s="496">
        <v>0.26273145000000003</v>
      </c>
    </row>
    <row r="594" spans="2:22" outlineLevel="1">
      <c r="B594" s="324" t="s">
        <v>711</v>
      </c>
      <c r="C594" s="554">
        <f>IF('R6a - Net Debt input'!D301 = "","",'R6a - Net Debt input'!D301)</f>
        <v>44358</v>
      </c>
      <c r="D594" s="554">
        <f>IF('R6a - Net Debt input'!E301 = "","",'R6a - Net Debt input'!E301)</f>
        <v>50664</v>
      </c>
      <c r="E594" s="566" t="str">
        <f>IF('R6a - Net Debt input'!F301 = "","",'R6a - Net Debt input'!F301)</f>
        <v>17 YR SWAP: RCV 2.00000% GBP PAY 1D SONIA +124 bp GBP 30.0 M MAT: 16-SEP-2038</v>
      </c>
      <c r="F594" s="567"/>
      <c r="G594" s="567"/>
      <c r="H594" s="567"/>
      <c r="I594" s="568"/>
      <c r="L594" s="722"/>
      <c r="M594" s="496">
        <v>0.2</v>
      </c>
      <c r="N594" s="496">
        <v>0.22593385999999999</v>
      </c>
      <c r="O594" s="496">
        <v>0.50021304999999994</v>
      </c>
      <c r="P594" s="496">
        <v>0.37728346000000001</v>
      </c>
      <c r="Q594" s="496">
        <v>0.29616070999999999</v>
      </c>
      <c r="R594" s="496">
        <v>0.25257015999999999</v>
      </c>
      <c r="S594" s="496">
        <v>0.20909682000000002</v>
      </c>
      <c r="T594" s="496">
        <v>0.17946263000000001</v>
      </c>
      <c r="U594" s="496">
        <v>0.18330966000000001</v>
      </c>
      <c r="V594" s="496">
        <v>0.19322145000000002</v>
      </c>
    </row>
    <row r="595" spans="2:22" outlineLevel="1">
      <c r="B595" s="324" t="s">
        <v>712</v>
      </c>
      <c r="C595" s="554">
        <f>IF('R6a - Net Debt input'!D302 = "","",'R6a - Net Debt input'!D302)</f>
        <v>44358</v>
      </c>
      <c r="D595" s="554">
        <f>IF('R6a - Net Debt input'!E302 = "","",'R6a - Net Debt input'!E302)</f>
        <v>50664</v>
      </c>
      <c r="E595" s="566" t="str">
        <f>IF('R6a - Net Debt input'!F302 = "","",'R6a - Net Debt input'!F302)</f>
        <v>17 YR SWAP: RCV 2.00000% GBP PAY 1D SONIA +160 bp GBP 25.0 M MAT: 16-SEP-2038</v>
      </c>
      <c r="F595" s="567"/>
      <c r="G595" s="567"/>
      <c r="H595" s="567"/>
      <c r="I595" s="568"/>
      <c r="L595" s="722"/>
      <c r="M595" s="496">
        <v>0.2</v>
      </c>
      <c r="N595" s="496">
        <v>0.27890423999999997</v>
      </c>
      <c r="O595" s="496">
        <v>0.50796816999999994</v>
      </c>
      <c r="P595" s="496">
        <v>0.40527787999999998</v>
      </c>
      <c r="Q595" s="496">
        <v>0.33767558000000003</v>
      </c>
      <c r="R595" s="496">
        <v>0.30135013999999999</v>
      </c>
      <c r="S595" s="496">
        <v>0.26537132000000002</v>
      </c>
      <c r="T595" s="496">
        <v>0.24042720000000001</v>
      </c>
      <c r="U595" s="496">
        <v>0.24363305999999998</v>
      </c>
      <c r="V595" s="496">
        <v>0.25189286999999999</v>
      </c>
    </row>
    <row r="596" spans="2:22" outlineLevel="1">
      <c r="B596" s="324" t="s">
        <v>713</v>
      </c>
      <c r="C596" s="554">
        <f>IF('R6a - Net Debt input'!D303 = "","",'R6a - Net Debt input'!D303)</f>
        <v>44358</v>
      </c>
      <c r="D596" s="554">
        <f>IF('R6a - Net Debt input'!E303 = "","",'R6a - Net Debt input'!E303)</f>
        <v>50664</v>
      </c>
      <c r="E596" s="566" t="str">
        <f>IF('R6a - Net Debt input'!F303 = "","",'R6a - Net Debt input'!F303)</f>
        <v>17 YR SWAP: RCV 2.00000% GBP PAY 1D SONIA +160 bp GBP 25.0 M MAT: 16-SEP-2038</v>
      </c>
      <c r="F596" s="567"/>
      <c r="G596" s="567"/>
      <c r="H596" s="567"/>
      <c r="I596" s="568"/>
      <c r="L596" s="722"/>
      <c r="M596" s="496">
        <v>0.2</v>
      </c>
      <c r="N596" s="496">
        <v>0.27833083000000003</v>
      </c>
      <c r="O596" s="496">
        <v>0.50739159999999994</v>
      </c>
      <c r="P596" s="496">
        <v>0.40470287999999999</v>
      </c>
      <c r="Q596" s="496">
        <v>0.33710059000000003</v>
      </c>
      <c r="R596" s="496">
        <v>0.30077514</v>
      </c>
      <c r="S596" s="496">
        <v>0.26479475000000002</v>
      </c>
      <c r="T596" s="496">
        <v>0.23985220000000002</v>
      </c>
      <c r="U596" s="496">
        <v>0.24305805999999999</v>
      </c>
      <c r="V596" s="496">
        <v>0.25131787</v>
      </c>
    </row>
    <row r="597" spans="2:22" outlineLevel="1">
      <c r="B597" s="324" t="s">
        <v>714</v>
      </c>
      <c r="C597" s="554">
        <f>IF('R6a - Net Debt input'!D304 = "","",'R6a - Net Debt input'!D304)</f>
        <v>44379</v>
      </c>
      <c r="D597" s="554">
        <f>IF('R6a - Net Debt input'!E304 = "","",'R6a - Net Debt input'!E304)</f>
        <v>45324</v>
      </c>
      <c r="E597" s="566" t="str">
        <f>IF('R6a - Net Debt input'!F304 = "","",'R6a - Net Debt input'!F304)</f>
        <v>2.5 YR SWAP: PAY 1D SONIA +141 bp GBP RCV 5.87500% GBP 20.0 M MAT: 02-FEB-2024</v>
      </c>
      <c r="F597" s="567"/>
      <c r="G597" s="567"/>
      <c r="H597" s="567"/>
      <c r="I597" s="568"/>
      <c r="L597" s="722"/>
      <c r="M597" s="496">
        <v>-1</v>
      </c>
      <c r="N597" s="496">
        <v>-0.59650466000000002</v>
      </c>
      <c r="O597" s="496">
        <v>-0.33278068999999999</v>
      </c>
      <c r="P597" s="496">
        <v>0</v>
      </c>
      <c r="Q597" s="496">
        <v>0</v>
      </c>
      <c r="R597" s="496">
        <v>0</v>
      </c>
      <c r="S597" s="496">
        <v>0</v>
      </c>
      <c r="T597" s="496">
        <v>0</v>
      </c>
      <c r="U597" s="496">
        <v>0</v>
      </c>
      <c r="V597" s="496">
        <v>0</v>
      </c>
    </row>
    <row r="598" spans="2:22" outlineLevel="1">
      <c r="B598" s="324" t="s">
        <v>715</v>
      </c>
      <c r="C598" s="554">
        <f>IF('R6a - Net Debt input'!D305 = "","",'R6a - Net Debt input'!D305)</f>
        <v>44379</v>
      </c>
      <c r="D598" s="554">
        <f>IF('R6a - Net Debt input'!E305 = "","",'R6a - Net Debt input'!E305)</f>
        <v>45324</v>
      </c>
      <c r="E598" s="566" t="str">
        <f>IF('R6a - Net Debt input'!F305 = "","",'R6a - Net Debt input'!F305)</f>
        <v>2.5 YR SWAP: PAY 1D SONIA +196 bp GBP RCV 5.87500% GBP 75.0 M MAT: 02-FEB-2024</v>
      </c>
      <c r="F598" s="567"/>
      <c r="G598" s="567"/>
      <c r="H598" s="567"/>
      <c r="I598" s="568"/>
      <c r="L598" s="722"/>
      <c r="M598" s="496">
        <v>-3.6</v>
      </c>
      <c r="N598" s="496">
        <v>-1.82499905</v>
      </c>
      <c r="O598" s="496">
        <v>-0.89940239</v>
      </c>
      <c r="P598" s="496">
        <v>0</v>
      </c>
      <c r="Q598" s="496">
        <v>0</v>
      </c>
      <c r="R598" s="496">
        <v>0</v>
      </c>
      <c r="S598" s="496">
        <v>0</v>
      </c>
      <c r="T598" s="496">
        <v>0</v>
      </c>
      <c r="U598" s="496">
        <v>0</v>
      </c>
      <c r="V598" s="496">
        <v>0</v>
      </c>
    </row>
    <row r="599" spans="2:22" outlineLevel="1">
      <c r="B599" s="324" t="s">
        <v>716</v>
      </c>
      <c r="C599" s="554">
        <f>IF('R6a - Net Debt input'!D306 = "","",'R6a - Net Debt input'!D306)</f>
        <v>44379</v>
      </c>
      <c r="D599" s="554">
        <f>IF('R6a - Net Debt input'!E306 = "","",'R6a - Net Debt input'!E306)</f>
        <v>45324</v>
      </c>
      <c r="E599" s="566" t="str">
        <f>IF('R6a - Net Debt input'!F306 = "","",'R6a - Net Debt input'!F306)</f>
        <v>3 YR SWAP: PAY 5.87500% GBP RCV 1D SONIA +199 bp GBP 40.0 M MAT: 02-FEB-2024</v>
      </c>
      <c r="F599" s="567"/>
      <c r="G599" s="567"/>
      <c r="H599" s="567"/>
      <c r="I599" s="568"/>
      <c r="L599" s="722"/>
      <c r="M599" s="496">
        <v>1.9</v>
      </c>
      <c r="N599" s="496">
        <v>0.96044821999999996</v>
      </c>
      <c r="O599" s="496">
        <v>0.46877891999999999</v>
      </c>
      <c r="P599" s="496">
        <v>0</v>
      </c>
      <c r="Q599" s="496">
        <v>0</v>
      </c>
      <c r="R599" s="496">
        <v>0</v>
      </c>
      <c r="S599" s="496">
        <v>0</v>
      </c>
      <c r="T599" s="496">
        <v>0</v>
      </c>
      <c r="U599" s="496">
        <v>0</v>
      </c>
      <c r="V599" s="496">
        <v>0</v>
      </c>
    </row>
    <row r="600" spans="2:22" outlineLevel="1">
      <c r="B600" s="324" t="s">
        <v>717</v>
      </c>
      <c r="C600" s="554">
        <f>IF('R6a - Net Debt input'!D307 = "","",'R6a - Net Debt input'!D307)</f>
        <v>44379</v>
      </c>
      <c r="D600" s="554">
        <f>IF('R6a - Net Debt input'!E307 = "","",'R6a - Net Debt input'!E307)</f>
        <v>45324</v>
      </c>
      <c r="E600" s="566" t="str">
        <f>IF('R6a - Net Debt input'!F307 = "","",'R6a - Net Debt input'!F307)</f>
        <v>2.5 YR SWAP: PAY 1D SONIA +268 bp GBP RCV 5.87500% GBP 28.0 M MAT: 02-FEB-2024</v>
      </c>
      <c r="F600" s="567"/>
      <c r="G600" s="567"/>
      <c r="H600" s="567"/>
      <c r="I600" s="568"/>
      <c r="L600" s="722"/>
      <c r="M600" s="496">
        <v>-1.3</v>
      </c>
      <c r="N600" s="496">
        <v>-0.48117884999999999</v>
      </c>
      <c r="O600" s="496">
        <v>-0.16641570999999999</v>
      </c>
      <c r="P600" s="496">
        <v>0</v>
      </c>
      <c r="Q600" s="496">
        <v>0</v>
      </c>
      <c r="R600" s="496">
        <v>0</v>
      </c>
      <c r="S600" s="496">
        <v>0</v>
      </c>
      <c r="T600" s="496">
        <v>0</v>
      </c>
      <c r="U600" s="496">
        <v>0</v>
      </c>
      <c r="V600" s="496">
        <v>0</v>
      </c>
    </row>
    <row r="601" spans="2:22" outlineLevel="1">
      <c r="B601" s="324" t="s">
        <v>718</v>
      </c>
      <c r="C601" s="554">
        <f>IF('R6a - Net Debt input'!D308 = "","",'R6a - Net Debt input'!D308)</f>
        <v>44545</v>
      </c>
      <c r="D601" s="554">
        <f>IF('R6a - Net Debt input'!E308 = "","",'R6a - Net Debt input'!E308)</f>
        <v>46362</v>
      </c>
      <c r="E601" s="566" t="str">
        <f>IF('R6a - Net Debt input'!F308 = "","",'R6a - Net Debt input'!F308)</f>
        <v>4.5 YR SWAP: PAY 2.07600% GBP RCV 1D SONIA +100 bp GBP 100.0 M MAT: 06-DEC-2026</v>
      </c>
      <c r="F601" s="567"/>
      <c r="G601" s="567"/>
      <c r="H601" s="567"/>
      <c r="I601" s="568"/>
      <c r="L601" s="722"/>
      <c r="M601" s="496">
        <v>0</v>
      </c>
      <c r="N601" s="496">
        <v>-0.54896356000000002</v>
      </c>
      <c r="O601" s="496">
        <v>-1.29354602</v>
      </c>
      <c r="P601" s="496">
        <v>-0.95200931000000011</v>
      </c>
      <c r="Q601" s="496">
        <v>-0.68697863000000003</v>
      </c>
      <c r="R601" s="496">
        <v>-0.38183863000000001</v>
      </c>
      <c r="S601" s="496">
        <v>0</v>
      </c>
      <c r="T601" s="496">
        <v>0</v>
      </c>
      <c r="U601" s="496">
        <v>0</v>
      </c>
      <c r="V601" s="496">
        <v>0</v>
      </c>
    </row>
    <row r="602" spans="2:22" outlineLevel="1">
      <c r="B602" s="324" t="s">
        <v>719</v>
      </c>
      <c r="C602" s="554">
        <f>IF('R6a - Net Debt input'!D309 = "","",'R6a - Net Debt input'!D309)</f>
        <v>44545</v>
      </c>
      <c r="D602" s="554">
        <f>IF('R6a - Net Debt input'!E309 = "","",'R6a - Net Debt input'!E309)</f>
        <v>46961</v>
      </c>
      <c r="E602" s="566" t="str">
        <f>IF('R6a - Net Debt input'!F309 = "","",'R6a - Net Debt input'!F309)</f>
        <v>7 YR SWAP: RCV 1.04450% GBP PAY 1D SONIA +104 bp GBP 100.0 M MAT: 27-JUL-2028</v>
      </c>
      <c r="F602" s="567"/>
      <c r="G602" s="567"/>
      <c r="H602" s="567"/>
      <c r="I602" s="568"/>
      <c r="L602" s="722"/>
      <c r="M602" s="496">
        <v>0</v>
      </c>
      <c r="N602" s="496">
        <v>1.4661424699999999</v>
      </c>
      <c r="O602" s="496">
        <v>2.4063823199999996</v>
      </c>
      <c r="P602" s="496">
        <v>2.02028411</v>
      </c>
      <c r="Q602" s="496">
        <v>1.75315632</v>
      </c>
      <c r="R602" s="496">
        <v>1.5974912299999999</v>
      </c>
      <c r="S602" s="496">
        <v>1.4582124599999999</v>
      </c>
      <c r="T602" s="496">
        <v>0.44852426000000001</v>
      </c>
      <c r="U602" s="496">
        <v>0</v>
      </c>
      <c r="V602" s="496">
        <v>0</v>
      </c>
    </row>
    <row r="603" spans="2:22" outlineLevel="1">
      <c r="B603" s="324" t="s">
        <v>720</v>
      </c>
      <c r="C603" s="554">
        <f>IF('R6a - Net Debt input'!D310 = "","",'R6a - Net Debt input'!D310)</f>
        <v>44379</v>
      </c>
      <c r="D603" s="554">
        <f>IF('R6a - Net Debt input'!E310 = "","",'R6a - Net Debt input'!E310)</f>
        <v>46961</v>
      </c>
      <c r="E603" s="566" t="str">
        <f>IF('R6a - Net Debt input'!F310 = "","",'R6a - Net Debt input'!F310)</f>
        <v>7 YR SWAP: PAY 1D SONIA +184 bp GBP RCV 6.50000% GBP 15.0 M MAT: 27-JUL-2028</v>
      </c>
      <c r="F603" s="567"/>
      <c r="G603" s="567"/>
      <c r="H603" s="567"/>
      <c r="I603" s="568"/>
      <c r="L603" s="722"/>
      <c r="M603" s="496">
        <v>0.1</v>
      </c>
      <c r="N603" s="496">
        <v>-0.47698404999999999</v>
      </c>
      <c r="O603" s="496">
        <v>-0.33856974000000001</v>
      </c>
      <c r="P603" s="496">
        <v>-0.39442961999999998</v>
      </c>
      <c r="Q603" s="496">
        <v>-0.43615982000000003</v>
      </c>
      <c r="R603" s="496">
        <v>-0.45919631</v>
      </c>
      <c r="S603" s="496">
        <v>-0.48079521999999997</v>
      </c>
      <c r="T603" s="496">
        <v>-0.15760676000000001</v>
      </c>
      <c r="U603" s="496">
        <v>0</v>
      </c>
      <c r="V603" s="496">
        <v>0</v>
      </c>
    </row>
    <row r="604" spans="2:22" outlineLevel="1">
      <c r="B604" s="324" t="s">
        <v>721</v>
      </c>
      <c r="C604" s="554">
        <f>IF('R6a - Net Debt input'!D311 = "","",'R6a - Net Debt input'!D311)</f>
        <v>44379</v>
      </c>
      <c r="D604" s="554">
        <f>IF('R6a - Net Debt input'!E311 = "","",'R6a - Net Debt input'!E311)</f>
        <v>46961</v>
      </c>
      <c r="E604" s="566" t="str">
        <f>IF('R6a - Net Debt input'!F311 = "","",'R6a - Net Debt input'!F311)</f>
        <v>7 YR SWAP: PAY 1D SONIA +217 bp GBP RCV 6.50000% GBP 14.0 M MAT: 27-JUL-2028</v>
      </c>
      <c r="F604" s="567"/>
      <c r="G604" s="567"/>
      <c r="H604" s="567"/>
      <c r="I604" s="568"/>
      <c r="L604" s="722"/>
      <c r="M604" s="496">
        <v>0.2</v>
      </c>
      <c r="N604" s="496">
        <v>-0.39904189000000001</v>
      </c>
      <c r="O604" s="496">
        <v>-0.26960165999999997</v>
      </c>
      <c r="P604" s="496">
        <v>-0.32186430999999999</v>
      </c>
      <c r="Q604" s="496">
        <v>-0.36081248999999999</v>
      </c>
      <c r="R604" s="496">
        <v>-0.38231323</v>
      </c>
      <c r="S604" s="496">
        <v>-0.40234544</v>
      </c>
      <c r="T604" s="496">
        <v>-0.13214112</v>
      </c>
      <c r="U604" s="496">
        <v>0</v>
      </c>
      <c r="V604" s="496">
        <v>0</v>
      </c>
    </row>
    <row r="605" spans="2:22" outlineLevel="1">
      <c r="B605" s="324" t="s">
        <v>722</v>
      </c>
      <c r="C605" s="554">
        <f>IF('R6a - Net Debt input'!D312 = "","",'R6a - Net Debt input'!D312)</f>
        <v>44379</v>
      </c>
      <c r="D605" s="554">
        <f>IF('R6a - Net Debt input'!E312 = "","",'R6a - Net Debt input'!E312)</f>
        <v>46961</v>
      </c>
      <c r="E605" s="566" t="str">
        <f>IF('R6a - Net Debt input'!F312 = "","",'R6a - Net Debt input'!F312)</f>
        <v>7 YR SWAP: PAY 1D SONIA +252 bp GBP RCV 6.50000% GBP 65.0 M MAT: 27-JUL-2028</v>
      </c>
      <c r="F605" s="567"/>
      <c r="G605" s="567"/>
      <c r="H605" s="567"/>
      <c r="I605" s="568"/>
      <c r="L605" s="722"/>
      <c r="M605" s="496">
        <v>0.9</v>
      </c>
      <c r="N605" s="496">
        <v>-1.6225766499999998</v>
      </c>
      <c r="O605" s="496">
        <v>-1.02033978</v>
      </c>
      <c r="P605" s="496">
        <v>-1.26362003</v>
      </c>
      <c r="Q605" s="496">
        <v>-1.4444508700000001</v>
      </c>
      <c r="R605" s="496">
        <v>-1.5442756899999999</v>
      </c>
      <c r="S605" s="496">
        <v>-1.6366501899999999</v>
      </c>
      <c r="T605" s="496">
        <v>-0.53891369999999994</v>
      </c>
      <c r="U605" s="496">
        <v>0</v>
      </c>
      <c r="V605" s="496">
        <v>0</v>
      </c>
    </row>
    <row r="606" spans="2:22" outlineLevel="1">
      <c r="B606" s="324" t="s">
        <v>723</v>
      </c>
      <c r="C606" s="554">
        <f>IF('R6a - Net Debt input'!D313 = "","",'R6a - Net Debt input'!D313)</f>
        <v>44379</v>
      </c>
      <c r="D606" s="554">
        <f>IF('R6a - Net Debt input'!E313 = "","",'R6a - Net Debt input'!E313)</f>
        <v>46961</v>
      </c>
      <c r="E606" s="566" t="str">
        <f>IF('R6a - Net Debt input'!F313 = "","",'R6a - Net Debt input'!F313)</f>
        <v>7 YR SWAP: PAY 1D SONIA +254 bp GBP RCV 6.50000% GBP 40.0 M MAT: 27-JUL-2028</v>
      </c>
      <c r="F606" s="567"/>
      <c r="G606" s="567"/>
      <c r="H606" s="567"/>
      <c r="I606" s="568"/>
      <c r="L606" s="722"/>
      <c r="M606" s="496">
        <v>0.5</v>
      </c>
      <c r="N606" s="496">
        <v>-0.99112898999999999</v>
      </c>
      <c r="O606" s="496">
        <v>-0.62048113000000005</v>
      </c>
      <c r="P606" s="496">
        <v>-0.77021233</v>
      </c>
      <c r="Q606" s="496">
        <v>-0.88149284999999999</v>
      </c>
      <c r="R606" s="496">
        <v>-0.94292350000000003</v>
      </c>
      <c r="S606" s="496">
        <v>-0.99974906999999991</v>
      </c>
      <c r="T606" s="496">
        <v>-0.32924686999999997</v>
      </c>
      <c r="U606" s="496">
        <v>0</v>
      </c>
      <c r="V606" s="496">
        <v>0</v>
      </c>
    </row>
    <row r="607" spans="2:22" outlineLevel="1">
      <c r="B607" s="324" t="s">
        <v>724</v>
      </c>
      <c r="C607" s="554">
        <f>IF('R6a - Net Debt input'!D314 = "","",'R6a - Net Debt input'!D314)</f>
        <v>44379</v>
      </c>
      <c r="D607" s="554">
        <f>IF('R6a - Net Debt input'!E314 = "","",'R6a - Net Debt input'!E314)</f>
        <v>46961</v>
      </c>
      <c r="E607" s="566" t="str">
        <f>IF('R6a - Net Debt input'!F314 = "","",'R6a - Net Debt input'!F314)</f>
        <v>7 YR SWAP: PAY 6.50000% GBP RCV 1D SONIA +252 bp GBP 91.0 M MAT: 27-JUL-2028</v>
      </c>
      <c r="F607" s="567"/>
      <c r="G607" s="567"/>
      <c r="H607" s="567"/>
      <c r="I607" s="568"/>
      <c r="L607" s="722"/>
      <c r="M607" s="496">
        <v>-1.2</v>
      </c>
      <c r="N607" s="496">
        <v>2.2732408300000002</v>
      </c>
      <c r="O607" s="496">
        <v>1.43011818</v>
      </c>
      <c r="P607" s="496">
        <v>1.7707060400000001</v>
      </c>
      <c r="Q607" s="496">
        <v>2.0238692299999999</v>
      </c>
      <c r="R607" s="496">
        <v>2.1636239900000001</v>
      </c>
      <c r="S607" s="496">
        <v>2.2929527599999999</v>
      </c>
      <c r="T607" s="496">
        <v>0.75500873000000002</v>
      </c>
      <c r="U607" s="496">
        <v>0</v>
      </c>
      <c r="V607" s="496">
        <v>0</v>
      </c>
    </row>
    <row r="608" spans="2:22" outlineLevel="1">
      <c r="B608" s="324" t="s">
        <v>725</v>
      </c>
      <c r="C608" s="554">
        <f>IF('R6a - Net Debt input'!D315 = "","",'R6a - Net Debt input'!D315)</f>
        <v>44379</v>
      </c>
      <c r="D608" s="554">
        <f>IF('R6a - Net Debt input'!E315 = "","",'R6a - Net Debt input'!E315)</f>
        <v>49369</v>
      </c>
      <c r="E608" s="566" t="str">
        <f>IF('R6a - Net Debt input'!F315 = "","",'R6a - Net Debt input'!F315)</f>
        <v>13.5 YR SWAP: PAY 1D SONIA +50 bp GBP RCV 5.00000% GBP 40.0 M MAT: 01-MAR-2035</v>
      </c>
      <c r="F608" s="567"/>
      <c r="G608" s="567"/>
      <c r="H608" s="567"/>
      <c r="I608" s="568"/>
      <c r="L608" s="722"/>
      <c r="M608" s="496">
        <v>-1.9</v>
      </c>
      <c r="N608" s="496">
        <v>-1.2034236599999999</v>
      </c>
      <c r="O608" s="496">
        <v>-0.82697206000000001</v>
      </c>
      <c r="P608" s="496">
        <v>-0.99228657999999992</v>
      </c>
      <c r="Q608" s="496">
        <v>-1.0993923300000001</v>
      </c>
      <c r="R608" s="496">
        <v>-1.15919803</v>
      </c>
      <c r="S608" s="496">
        <v>-1.21649732</v>
      </c>
      <c r="T608" s="496">
        <v>-1.2570188500000001</v>
      </c>
      <c r="U608" s="496">
        <v>-1.2512881100000002</v>
      </c>
      <c r="V608" s="496">
        <v>-1.2381358899999999</v>
      </c>
    </row>
    <row r="609" spans="2:22" outlineLevel="1">
      <c r="B609" s="324" t="s">
        <v>726</v>
      </c>
      <c r="C609" s="554">
        <f>IF('R6a - Net Debt input'!D316 = "","",'R6a - Net Debt input'!D316)</f>
        <v>44379</v>
      </c>
      <c r="D609" s="554">
        <f>IF('R6a - Net Debt input'!E316 = "","",'R6a - Net Debt input'!E316)</f>
        <v>49369</v>
      </c>
      <c r="E609" s="566" t="str">
        <f>IF('R6a - Net Debt input'!F316 = "","",'R6a - Net Debt input'!F316)</f>
        <v>13.5 YR SWAP: PAY 1D SONIA +114 bp GBP RCV 5.00000% GBP 20.0 M MAT: 01-MAR-2035</v>
      </c>
      <c r="F609" s="567"/>
      <c r="G609" s="567"/>
      <c r="H609" s="567"/>
      <c r="I609" s="568"/>
      <c r="L609" s="722"/>
      <c r="M609" s="496">
        <v>-0.9</v>
      </c>
      <c r="N609" s="496">
        <v>-0.47342427000000004</v>
      </c>
      <c r="O609" s="496">
        <v>-0.28449359000000002</v>
      </c>
      <c r="P609" s="496">
        <v>-0.36750328000000004</v>
      </c>
      <c r="Q609" s="496">
        <v>-0.42105617000000001</v>
      </c>
      <c r="R609" s="496">
        <v>-0.45095900999999999</v>
      </c>
      <c r="S609" s="496">
        <v>-0.47925621999999996</v>
      </c>
      <c r="T609" s="496">
        <v>-0.49986942000000001</v>
      </c>
      <c r="U609" s="496">
        <v>-0.49700404999999998</v>
      </c>
      <c r="V609" s="496">
        <v>-0.49042795</v>
      </c>
    </row>
    <row r="610" spans="2:22" outlineLevel="1">
      <c r="B610" s="324" t="s">
        <v>727</v>
      </c>
      <c r="C610" s="554">
        <f>IF('R6a - Net Debt input'!D317 = "","",'R6a - Net Debt input'!D317)</f>
        <v>44379</v>
      </c>
      <c r="D610" s="554">
        <f>IF('R6a - Net Debt input'!E317 = "","",'R6a - Net Debt input'!E317)</f>
        <v>49369</v>
      </c>
      <c r="E610" s="566" t="str">
        <f>IF('R6a - Net Debt input'!F317 = "","",'R6a - Net Debt input'!F317)</f>
        <v>14 YR SWAP: PAY 5.00000% GBP RCV 1D SONIA +121 bp GBP 40.0 M MAT: 01-MAR-2035</v>
      </c>
      <c r="F610" s="567"/>
      <c r="G610" s="567"/>
      <c r="H610" s="567"/>
      <c r="I610" s="568"/>
      <c r="L610" s="722"/>
      <c r="M610" s="496">
        <v>1.7</v>
      </c>
      <c r="N610" s="496">
        <v>0.91960339000000002</v>
      </c>
      <c r="O610" s="496">
        <v>0.54159232999999996</v>
      </c>
      <c r="P610" s="496">
        <v>0.7076865699999999</v>
      </c>
      <c r="Q610" s="496">
        <v>0.81479232999999995</v>
      </c>
      <c r="R610" s="496">
        <v>0.87459801999999998</v>
      </c>
      <c r="S610" s="496">
        <v>0.93111758999999994</v>
      </c>
      <c r="T610" s="496">
        <v>0.97241884999999995</v>
      </c>
      <c r="U610" s="496">
        <v>0.96668812000000004</v>
      </c>
      <c r="V610" s="496">
        <v>0.95353589000000005</v>
      </c>
    </row>
    <row r="611" spans="2:22" outlineLevel="1">
      <c r="B611" s="324" t="s">
        <v>728</v>
      </c>
      <c r="C611" s="554">
        <f>IF('R6a - Net Debt input'!D318 = "","",'R6a - Net Debt input'!D318)</f>
        <v>44379</v>
      </c>
      <c r="D611" s="554">
        <f>IF('R6a - Net Debt input'!E318 = "","",'R6a - Net Debt input'!E318)</f>
        <v>49369</v>
      </c>
      <c r="E611" s="566" t="str">
        <f>IF('R6a - Net Debt input'!F318 = "","",'R6a - Net Debt input'!F318)</f>
        <v>14 YR SWAP: PAY 5.00000% GBP RCV 1D SONIA +99 bp GBP 7.0 M MAT: 01-MAR-2035</v>
      </c>
      <c r="F611" s="567"/>
      <c r="G611" s="567"/>
      <c r="H611" s="567"/>
      <c r="I611" s="568"/>
      <c r="L611" s="722"/>
      <c r="M611" s="496">
        <v>0.3</v>
      </c>
      <c r="N611" s="496">
        <v>0.17627445</v>
      </c>
      <c r="O611" s="496">
        <v>0.11020681</v>
      </c>
      <c r="P611" s="496">
        <v>0.13923115</v>
      </c>
      <c r="Q611" s="496">
        <v>0.15797466000000002</v>
      </c>
      <c r="R611" s="496">
        <v>0.16844065</v>
      </c>
      <c r="S611" s="496">
        <v>0.17837372000000001</v>
      </c>
      <c r="T611" s="496">
        <v>0.18555929999999998</v>
      </c>
      <c r="U611" s="496">
        <v>0.18455641</v>
      </c>
      <c r="V611" s="496">
        <v>0.18225476999999998</v>
      </c>
    </row>
    <row r="612" spans="2:22" outlineLevel="1">
      <c r="B612" s="324" t="s">
        <v>729</v>
      </c>
      <c r="C612" s="554">
        <f>IF('R6a - Net Debt input'!D319 = "","",'R6a - Net Debt input'!D319)</f>
        <v>44386</v>
      </c>
      <c r="D612" s="554">
        <f>IF('R6a - Net Debt input'!E319 = "","",'R6a - Net Debt input'!E319)</f>
        <v>47861</v>
      </c>
      <c r="E612" s="566" t="str">
        <f>IF('R6a - Net Debt input'!F319 = "","",'R6a - Net Debt input'!F319)</f>
        <v>9.5 YR SWAP: PAY 1D SONIA +364 bp GBP RCV 7.37500% GBP 40.0 M MAT: 13-JAN-2031</v>
      </c>
      <c r="F612" s="567"/>
      <c r="G612" s="567"/>
      <c r="H612" s="567"/>
      <c r="I612" s="568"/>
      <c r="L612" s="722"/>
      <c r="M612" s="496">
        <v>-2.2000000000000002</v>
      </c>
      <c r="N612" s="496">
        <v>-0.89976758000000001</v>
      </c>
      <c r="O612" s="496">
        <v>-0.53768365000000007</v>
      </c>
      <c r="P612" s="496">
        <v>-0.67815765000000006</v>
      </c>
      <c r="Q612" s="496">
        <v>-0.79044011000000003</v>
      </c>
      <c r="R612" s="496">
        <v>-0.85333349999999997</v>
      </c>
      <c r="S612" s="496">
        <v>-0.91167138000000003</v>
      </c>
      <c r="T612" s="496">
        <v>-0.94185034999999995</v>
      </c>
      <c r="U612" s="496">
        <v>-0.94463232999999991</v>
      </c>
      <c r="V612" s="496">
        <v>-0.73702246999999999</v>
      </c>
    </row>
    <row r="613" spans="2:22" outlineLevel="1">
      <c r="B613" s="324" t="s">
        <v>730</v>
      </c>
      <c r="C613" s="554">
        <f>IF('R6a - Net Debt input'!D320 = "","",'R6a - Net Debt input'!D320)</f>
        <v>44386</v>
      </c>
      <c r="D613" s="554">
        <f>IF('R6a - Net Debt input'!E320 = "","",'R6a - Net Debt input'!E320)</f>
        <v>47861</v>
      </c>
      <c r="E613" s="566" t="str">
        <f>IF('R6a - Net Debt input'!F320 = "","",'R6a - Net Debt input'!F320)</f>
        <v>9.5 YR SWAP: PAY 1D SONIA +374 bp GBP RCV 7.37500% GBP 24.0 M MAT: 13-JAN-2031</v>
      </c>
      <c r="F613" s="567"/>
      <c r="G613" s="567"/>
      <c r="H613" s="567"/>
      <c r="I613" s="568"/>
      <c r="L613" s="722"/>
      <c r="M613" s="496">
        <v>-1.3</v>
      </c>
      <c r="N613" s="496">
        <v>-0.51470565000000001</v>
      </c>
      <c r="O613" s="496">
        <v>-0.29731708000000001</v>
      </c>
      <c r="P613" s="496">
        <v>-0.38167059000000003</v>
      </c>
      <c r="Q613" s="496">
        <v>-0.44904007000000001</v>
      </c>
      <c r="R613" s="496">
        <v>-0.48677609999999999</v>
      </c>
      <c r="S613" s="496">
        <v>-0.52170972999999998</v>
      </c>
      <c r="T613" s="496">
        <v>-0.53988620999999992</v>
      </c>
      <c r="U613" s="496">
        <v>-0.54155540000000002</v>
      </c>
      <c r="V613" s="496">
        <v>-0.42231070000000004</v>
      </c>
    </row>
    <row r="614" spans="2:22" outlineLevel="1">
      <c r="B614" s="324" t="s">
        <v>731</v>
      </c>
      <c r="C614" s="554">
        <f>IF('R6a - Net Debt input'!D321 = "","",'R6a - Net Debt input'!D321)</f>
        <v>44386</v>
      </c>
      <c r="D614" s="554">
        <f>IF('R6a - Net Debt input'!E321 = "","",'R6a - Net Debt input'!E321)</f>
        <v>47861</v>
      </c>
      <c r="E614" s="566" t="str">
        <f>IF('R6a - Net Debt input'!F321 = "","",'R6a - Net Debt input'!F321)</f>
        <v>9.5 YR SWAP: PAY 1D SONIA +338 bp GBP RCV 7.37500% GBP 38.0 M MAT: 13-JAN-2031</v>
      </c>
      <c r="F614" s="567"/>
      <c r="G614" s="567"/>
      <c r="H614" s="567"/>
      <c r="I614" s="568"/>
      <c r="L614" s="722"/>
      <c r="M614" s="496">
        <v>-2.1</v>
      </c>
      <c r="N614" s="496">
        <v>-0.95327061000000002</v>
      </c>
      <c r="O614" s="496">
        <v>-0.60983205000000007</v>
      </c>
      <c r="P614" s="496">
        <v>-0.74301176000000002</v>
      </c>
      <c r="Q614" s="496">
        <v>-0.84968009999999994</v>
      </c>
      <c r="R614" s="496">
        <v>-0.90942881999999992</v>
      </c>
      <c r="S614" s="496">
        <v>-0.96512039000000005</v>
      </c>
      <c r="T614" s="496">
        <v>-0.99351983999999993</v>
      </c>
      <c r="U614" s="496">
        <v>-0.99616271999999995</v>
      </c>
      <c r="V614" s="496">
        <v>-0.77809861999999996</v>
      </c>
    </row>
    <row r="615" spans="2:22" outlineLevel="1">
      <c r="B615" s="324" t="s">
        <v>732</v>
      </c>
      <c r="C615" s="554">
        <f>IF('R6a - Net Debt input'!D322 = "","",'R6a - Net Debt input'!D322)</f>
        <v>44386</v>
      </c>
      <c r="D615" s="554">
        <f>IF('R6a - Net Debt input'!E322 = "","",'R6a - Net Debt input'!E322)</f>
        <v>47861</v>
      </c>
      <c r="E615" s="566" t="str">
        <f>IF('R6a - Net Debt input'!F322 = "","",'R6a - Net Debt input'!F322)</f>
        <v>9.5 YR SWAP: PAY 1D SONIA +342 bp GBP RCV 7.37500% GBP 38.0 M MAT: 13-JAN-2031</v>
      </c>
      <c r="F615" s="567"/>
      <c r="G615" s="567"/>
      <c r="H615" s="567"/>
      <c r="I615" s="568"/>
      <c r="L615" s="722"/>
      <c r="M615" s="496">
        <v>-2.1</v>
      </c>
      <c r="N615" s="496">
        <v>-0.93868069999999992</v>
      </c>
      <c r="O615" s="496">
        <v>-0.59516196999999993</v>
      </c>
      <c r="P615" s="496">
        <v>-0.72838175999999999</v>
      </c>
      <c r="Q615" s="496">
        <v>-0.83505010000000002</v>
      </c>
      <c r="R615" s="496">
        <v>-0.89479881999999999</v>
      </c>
      <c r="S615" s="496">
        <v>-0.95045031000000002</v>
      </c>
      <c r="T615" s="496">
        <v>-0.97888982999999996</v>
      </c>
      <c r="U615" s="496">
        <v>-0.98153270999999997</v>
      </c>
      <c r="V615" s="496">
        <v>-0.76655494999999996</v>
      </c>
    </row>
    <row r="616" spans="2:22" outlineLevel="1">
      <c r="B616" s="324" t="s">
        <v>733</v>
      </c>
      <c r="C616" s="554">
        <f>IF('R6a - Net Debt input'!D323 = "","",'R6a - Net Debt input'!D323)</f>
        <v>44386</v>
      </c>
      <c r="D616" s="554">
        <f>IF('R6a - Net Debt input'!E323 = "","",'R6a - Net Debt input'!E323)</f>
        <v>47861</v>
      </c>
      <c r="E616" s="566" t="str">
        <f>IF('R6a - Net Debt input'!F323 = "","",'R6a - Net Debt input'!F323)</f>
        <v>9.5 YR SWAP: PAY 1D SONIA +346 bp GBP RCV 7.37500% GBP 48.0 M MAT: 13-JAN-2031</v>
      </c>
      <c r="F616" s="567"/>
      <c r="G616" s="567"/>
      <c r="H616" s="567"/>
      <c r="I616" s="568"/>
      <c r="L616" s="722"/>
      <c r="M616" s="496">
        <v>-2.7</v>
      </c>
      <c r="N616" s="496">
        <v>-1.16468767</v>
      </c>
      <c r="O616" s="496">
        <v>-0.73065381000000007</v>
      </c>
      <c r="P616" s="496">
        <v>-0.89898918000000005</v>
      </c>
      <c r="Q616" s="496">
        <v>-1.0337281300000001</v>
      </c>
      <c r="R616" s="496">
        <v>-1.1092001999999999</v>
      </c>
      <c r="S616" s="496">
        <v>-1.17943909</v>
      </c>
      <c r="T616" s="496">
        <v>-1.21542043</v>
      </c>
      <c r="U616" s="496">
        <v>-1.2187588</v>
      </c>
      <c r="V616" s="496">
        <v>-0.95165327</v>
      </c>
    </row>
    <row r="617" spans="2:22" outlineLevel="1">
      <c r="B617" s="324" t="s">
        <v>734</v>
      </c>
      <c r="C617" s="554">
        <f>IF('R6a - Net Debt input'!D324 = "","",'R6a - Net Debt input'!D324)</f>
        <v>44386</v>
      </c>
      <c r="D617" s="554">
        <f>IF('R6a - Net Debt input'!E324 = "","",'R6a - Net Debt input'!E324)</f>
        <v>47861</v>
      </c>
      <c r="E617" s="566" t="str">
        <f>IF('R6a - Net Debt input'!F324 = "","",'R6a - Net Debt input'!F324)</f>
        <v>10 YR SWAP: PAY 7.37500% GBP RCV 1D SONIA +336 bp GBP 15.0 M MAT: 13-JAN-2031</v>
      </c>
      <c r="F617" s="567"/>
      <c r="G617" s="567"/>
      <c r="H617" s="567"/>
      <c r="I617" s="568"/>
      <c r="L617" s="722"/>
      <c r="M617" s="496">
        <v>0.8</v>
      </c>
      <c r="N617" s="496">
        <v>0.37847503000000005</v>
      </c>
      <c r="O617" s="496">
        <v>0.24291919000000001</v>
      </c>
      <c r="P617" s="496">
        <v>0.29548412000000002</v>
      </c>
      <c r="Q617" s="496">
        <v>0.33759004999999997</v>
      </c>
      <c r="R617" s="496">
        <v>0.36117505999999999</v>
      </c>
      <c r="S617" s="496">
        <v>0.38316458000000003</v>
      </c>
      <c r="T617" s="496">
        <v>0.39436889000000003</v>
      </c>
      <c r="U617" s="496">
        <v>0.39541211999999998</v>
      </c>
      <c r="V617" s="496">
        <v>0.30887218999999999</v>
      </c>
    </row>
    <row r="618" spans="2:22" outlineLevel="1">
      <c r="B618" s="324" t="s">
        <v>735</v>
      </c>
      <c r="C618" s="554">
        <f>IF('R6a - Net Debt input'!D325 = "","",'R6a - Net Debt input'!D325)</f>
        <v>44386</v>
      </c>
      <c r="D618" s="554">
        <f>IF('R6a - Net Debt input'!E325 = "","",'R6a - Net Debt input'!E325)</f>
        <v>47861</v>
      </c>
      <c r="E618" s="566" t="str">
        <f>IF('R6a - Net Debt input'!F325 = "","",'R6a - Net Debt input'!F325)</f>
        <v>10 YR SWAP: PAY 7.37500% GBP RCV 1D SONIA +459 bp GBP 63.0 M MAT: 13-JAN-2031</v>
      </c>
      <c r="F618" s="567"/>
      <c r="G618" s="567"/>
      <c r="H618" s="567"/>
      <c r="I618" s="568"/>
      <c r="L618" s="722"/>
      <c r="M618" s="496">
        <v>3.2</v>
      </c>
      <c r="N618" s="496">
        <v>0.81688097999999998</v>
      </c>
      <c r="O618" s="496">
        <v>0.24330071</v>
      </c>
      <c r="P618" s="496">
        <v>0.46619628999999996</v>
      </c>
      <c r="Q618" s="496">
        <v>0.64304117000000005</v>
      </c>
      <c r="R618" s="496">
        <v>0.74209824999999996</v>
      </c>
      <c r="S618" s="496">
        <v>0.83233137999999995</v>
      </c>
      <c r="T618" s="496">
        <v>0.88151231000000008</v>
      </c>
      <c r="U618" s="496">
        <v>0.88589392</v>
      </c>
      <c r="V618" s="496">
        <v>0.68588497999999998</v>
      </c>
    </row>
    <row r="619" spans="2:22" outlineLevel="1">
      <c r="B619" s="324" t="s">
        <v>736</v>
      </c>
      <c r="C619" s="554">
        <f>IF('R6a - Net Debt input'!D326 = "","",'R6a - Net Debt input'!D326)</f>
        <v>44386</v>
      </c>
      <c r="D619" s="554">
        <f>IF('R6a - Net Debt input'!E326 = "","",'R6a - Net Debt input'!E326)</f>
        <v>47861</v>
      </c>
      <c r="E619" s="566" t="str">
        <f>IF('R6a - Net Debt input'!F326 = "","",'R6a - Net Debt input'!F326)</f>
        <v>10 YR SWAP: PAY 7.37500% GBP RCV 1D SONIA +527 bp GBP 45.0 M MAT: 13-JAN-2031</v>
      </c>
      <c r="F619" s="567"/>
      <c r="G619" s="567"/>
      <c r="H619" s="567"/>
      <c r="I619" s="568"/>
      <c r="L619" s="722"/>
      <c r="M619" s="496">
        <v>2.1</v>
      </c>
      <c r="N619" s="496">
        <v>0.27850428000000005</v>
      </c>
      <c r="O619" s="496">
        <v>-0.13287164000000001</v>
      </c>
      <c r="P619" s="496">
        <v>2.7177340000000001E-2</v>
      </c>
      <c r="Q619" s="496">
        <v>0.15349513000000001</v>
      </c>
      <c r="R619" s="496">
        <v>0.22425017999999999</v>
      </c>
      <c r="S619" s="496">
        <v>0.28786455</v>
      </c>
      <c r="T619" s="496">
        <v>0.32383165000000003</v>
      </c>
      <c r="U619" s="496">
        <v>0.32696136999999997</v>
      </c>
      <c r="V619" s="496">
        <v>0.24861329000000001</v>
      </c>
    </row>
    <row r="620" spans="2:22" outlineLevel="1">
      <c r="B620" s="324" t="s">
        <v>737</v>
      </c>
      <c r="C620" s="554">
        <f>IF('R6a - Net Debt input'!D327 = "","",'R6a - Net Debt input'!D327)</f>
        <v>44386</v>
      </c>
      <c r="D620" s="554">
        <f>IF('R6a - Net Debt input'!E327 = "","",'R6a - Net Debt input'!E327)</f>
        <v>47861</v>
      </c>
      <c r="E620" s="566" t="str">
        <f>IF('R6a - Net Debt input'!F327 = "","",'R6a - Net Debt input'!F327)</f>
        <v>10 YR SWAP: PAY 7.37500% GBP RCV 1D SONIA +527 bp GBP 45.0 M MAT: 13-JAN-2031</v>
      </c>
      <c r="F620" s="567"/>
      <c r="G620" s="567"/>
      <c r="H620" s="567"/>
      <c r="I620" s="568"/>
      <c r="L620" s="722"/>
      <c r="M620" s="496">
        <v>2.1</v>
      </c>
      <c r="N620" s="496">
        <v>0.27827990000000002</v>
      </c>
      <c r="O620" s="496">
        <v>-0.13309726000000002</v>
      </c>
      <c r="P620" s="496">
        <v>2.695235E-2</v>
      </c>
      <c r="Q620" s="496">
        <v>0.15327013</v>
      </c>
      <c r="R620" s="496">
        <v>0.22402517999999999</v>
      </c>
      <c r="S620" s="496">
        <v>0.28763894000000001</v>
      </c>
      <c r="T620" s="496">
        <v>0.32360665</v>
      </c>
      <c r="U620" s="496">
        <v>0.32673637</v>
      </c>
      <c r="V620" s="496">
        <v>0.24843575000000001</v>
      </c>
    </row>
    <row r="621" spans="2:22" outlineLevel="1">
      <c r="B621" s="324" t="s">
        <v>738</v>
      </c>
      <c r="C621" s="554">
        <f>IF('R6a - Net Debt input'!D328 = "","",'R6a - Net Debt input'!D328)</f>
        <v>44386</v>
      </c>
      <c r="D621" s="554">
        <f>IF('R6a - Net Debt input'!E328 = "","",'R6a - Net Debt input'!E328)</f>
        <v>47861</v>
      </c>
      <c r="E621" s="566" t="str">
        <f>IF('R6a - Net Debt input'!F328 = "","",'R6a - Net Debt input'!F328)</f>
        <v>10 YR SWAP: PAY 7.37500% GBP RCV 1D SONIA +331 bp GBP 19.0 M MAT: 13-JAN-2031</v>
      </c>
      <c r="F621" s="567"/>
      <c r="G621" s="567"/>
      <c r="H621" s="567"/>
      <c r="I621" s="568"/>
      <c r="L621" s="722"/>
      <c r="M621" s="496">
        <v>1.1000000000000001</v>
      </c>
      <c r="N621" s="496">
        <v>0.48974729</v>
      </c>
      <c r="O621" s="496">
        <v>0.31810006000000002</v>
      </c>
      <c r="P621" s="496">
        <v>0.38465388</v>
      </c>
      <c r="Q621" s="496">
        <v>0.43798804999999996</v>
      </c>
      <c r="R621" s="496">
        <v>0.46786240999999995</v>
      </c>
      <c r="S621" s="496">
        <v>0.49574421999999996</v>
      </c>
      <c r="T621" s="496">
        <v>0.50990791999999996</v>
      </c>
      <c r="U621" s="496">
        <v>0.51122935999999997</v>
      </c>
      <c r="V621" s="496">
        <v>0.39942361999999998</v>
      </c>
    </row>
    <row r="622" spans="2:22" outlineLevel="1">
      <c r="B622" s="324" t="s">
        <v>739</v>
      </c>
      <c r="C622" s="554">
        <f>IF('R6a - Net Debt input'!D329 = "","",'R6a - Net Debt input'!D329)</f>
        <v>44439</v>
      </c>
      <c r="D622" s="554">
        <f>IF('R6a - Net Debt input'!E329 = "","",'R6a - Net Debt input'!E329)</f>
        <v>48484</v>
      </c>
      <c r="E622" s="566" t="str">
        <f>IF('R6a - Net Debt input'!F329 = "","",'R6a - Net Debt input'!F329)</f>
        <v>11 YR SWAP: PAY 3.87750% GBP RCV 1D SONIA +137 bp GBP 45.5 M MAT: 27-SEP-2032</v>
      </c>
      <c r="F622" s="567"/>
      <c r="G622" s="567"/>
      <c r="H622" s="567"/>
      <c r="I622" s="568"/>
      <c r="L622" s="722"/>
      <c r="M622" s="496">
        <v>0.5</v>
      </c>
      <c r="N622" s="496">
        <v>0.43514954</v>
      </c>
      <c r="O622" s="496">
        <v>4.7935309999999995E-2</v>
      </c>
      <c r="P622" s="496">
        <v>0.22674282000000001</v>
      </c>
      <c r="Q622" s="496">
        <v>0.34796355000000001</v>
      </c>
      <c r="R622" s="496">
        <v>0.41253616999999998</v>
      </c>
      <c r="S622" s="496">
        <v>0.48278268000000002</v>
      </c>
      <c r="T622" s="496">
        <v>0.52740957999999993</v>
      </c>
      <c r="U622" s="496">
        <v>0.51795279999999999</v>
      </c>
      <c r="V622" s="496">
        <v>0.50335728000000002</v>
      </c>
    </row>
    <row r="623" spans="2:22" outlineLevel="1">
      <c r="B623" s="324" t="s">
        <v>740</v>
      </c>
      <c r="C623" s="554">
        <f>IF('R6a - Net Debt input'!D330 = "","",'R6a - Net Debt input'!D330)</f>
        <v>44439</v>
      </c>
      <c r="D623" s="554">
        <f>IF('R6a - Net Debt input'!E330 = "","",'R6a - Net Debt input'!E330)</f>
        <v>49339</v>
      </c>
      <c r="E623" s="566" t="str">
        <f>IF('R6a - Net Debt input'!F330 = "","",'R6a - Net Debt input'!F330)</f>
        <v>13 YR SWAP: PAY 4.01600% GBP RCV 1D SONIA +129 bp GBP 48.0 M MAT: 30-JAN-2035</v>
      </c>
      <c r="F623" s="567"/>
      <c r="G623" s="567"/>
      <c r="H623" s="567"/>
      <c r="I623" s="568"/>
      <c r="L623" s="722"/>
      <c r="M623" s="496">
        <v>0</v>
      </c>
      <c r="N623" s="496">
        <v>0.60074801</v>
      </c>
      <c r="O623" s="496">
        <v>0.15549685999999999</v>
      </c>
      <c r="P623" s="496">
        <v>0.33833911</v>
      </c>
      <c r="Q623" s="496">
        <v>0.46594863000000003</v>
      </c>
      <c r="R623" s="496">
        <v>0.54050039000000005</v>
      </c>
      <c r="S623" s="496">
        <v>0.61203682999999998</v>
      </c>
      <c r="T623" s="496">
        <v>0.65515226000000004</v>
      </c>
      <c r="U623" s="496">
        <v>0.65042959</v>
      </c>
      <c r="V623" s="496">
        <v>0.63504026000000002</v>
      </c>
    </row>
    <row r="624" spans="2:22" outlineLevel="1">
      <c r="B624" s="324" t="s">
        <v>741</v>
      </c>
      <c r="C624" s="554">
        <f>IF('R6a - Net Debt input'!D331 = "","",'R6a - Net Debt input'!D331)</f>
        <v>44427</v>
      </c>
      <c r="D624" s="554">
        <f>IF('R6a - Net Debt input'!E331 = "","",'R6a - Net Debt input'!E331)</f>
        <v>45686</v>
      </c>
      <c r="E624" s="566" t="str">
        <f>IF('R6a - Net Debt input'!F331 = "","",'R6a - Net Debt input'!F331)</f>
        <v>3.0 YR SWAP: PAY 3.18000% GBP RCV 1D SONIA +111 bp GBP 77.0 M MAT: 29-JAN-2025</v>
      </c>
      <c r="F624" s="567"/>
      <c r="G624" s="567"/>
      <c r="H624" s="567"/>
      <c r="I624" s="568"/>
      <c r="L624" s="722"/>
      <c r="M624" s="496">
        <v>0</v>
      </c>
      <c r="N624" s="496">
        <v>0.45530944000000001</v>
      </c>
      <c r="O624" s="496">
        <v>-0.26004525000000001</v>
      </c>
      <c r="P624" s="496">
        <v>4.7592299999999997E-3</v>
      </c>
      <c r="Q624" s="496">
        <v>0</v>
      </c>
      <c r="R624" s="496">
        <v>0</v>
      </c>
      <c r="S624" s="496">
        <v>0</v>
      </c>
      <c r="T624" s="496">
        <v>0</v>
      </c>
      <c r="U624" s="496">
        <v>0</v>
      </c>
      <c r="V624" s="496">
        <v>0</v>
      </c>
    </row>
    <row r="625" spans="2:24">
      <c r="B625" s="169"/>
      <c r="E625" s="169"/>
      <c r="F625" s="169"/>
      <c r="G625" s="169"/>
      <c r="H625" s="169"/>
      <c r="L625" s="985" t="s">
        <v>742</v>
      </c>
      <c r="M625" s="474">
        <f t="shared" ref="M625:V625" si="42">SUM(M541:M624)</f>
        <v>-10.9</v>
      </c>
      <c r="N625" s="475">
        <f t="shared" si="42"/>
        <v>-1.2672041800000002</v>
      </c>
      <c r="O625" s="475">
        <f t="shared" si="42"/>
        <v>1.9992916299999997</v>
      </c>
      <c r="P625" s="475">
        <f t="shared" si="42"/>
        <v>1.8917297899999983</v>
      </c>
      <c r="Q625" s="475">
        <f t="shared" si="42"/>
        <v>0.98546872999999957</v>
      </c>
      <c r="R625" s="475">
        <f t="shared" si="42"/>
        <v>4.9992340000000524E-2</v>
      </c>
      <c r="S625" s="475">
        <f t="shared" si="42"/>
        <v>0.17423129999999976</v>
      </c>
      <c r="T625" s="476">
        <f t="shared" si="42"/>
        <v>4.2124470000000525E-2</v>
      </c>
      <c r="U625" s="477">
        <f t="shared" si="42"/>
        <v>4.8956600000004125E-3</v>
      </c>
      <c r="V625" s="475">
        <f t="shared" si="42"/>
        <v>0.51153222000000009</v>
      </c>
    </row>
    <row r="626" spans="2:24">
      <c r="B626" s="169"/>
    </row>
    <row r="627" spans="2:24" ht="14">
      <c r="B627" s="254" t="s">
        <v>743</v>
      </c>
      <c r="C627" s="255" t="s">
        <v>744</v>
      </c>
      <c r="D627" s="255"/>
      <c r="E627" s="255"/>
      <c r="F627" s="255"/>
      <c r="G627" s="256"/>
      <c r="H627" s="256"/>
      <c r="I627" s="256"/>
      <c r="J627" s="256"/>
      <c r="K627" s="256"/>
      <c r="L627" s="254"/>
      <c r="M627" s="255"/>
      <c r="N627" s="255"/>
      <c r="O627" s="255"/>
      <c r="P627" s="255"/>
      <c r="Q627" s="255"/>
      <c r="R627" s="255"/>
      <c r="S627" s="255"/>
      <c r="T627" s="255"/>
      <c r="U627" s="288"/>
      <c r="V627" s="255"/>
    </row>
    <row r="628" spans="2:24" outlineLevel="1">
      <c r="B628" s="169"/>
      <c r="C628" s="150"/>
      <c r="D628" s="150"/>
      <c r="X628" s="283"/>
    </row>
    <row r="629" spans="2:24" ht="17.5" outlineLevel="1">
      <c r="B629" s="153"/>
      <c r="C629" s="150"/>
      <c r="D629" s="265" t="s">
        <v>467</v>
      </c>
      <c r="E629" s="267"/>
      <c r="F629" s="267"/>
      <c r="G629" s="266"/>
      <c r="H629" s="266"/>
      <c r="I629" s="266"/>
      <c r="J629" s="266"/>
      <c r="K629" s="266"/>
      <c r="L629" s="304"/>
      <c r="M629" s="267"/>
      <c r="N629" s="267"/>
      <c r="O629" s="267"/>
      <c r="P629" s="267"/>
      <c r="Q629" s="267"/>
      <c r="R629" s="267"/>
      <c r="S629" s="267"/>
      <c r="T629" s="267"/>
      <c r="U629" s="290"/>
      <c r="V629" s="267"/>
    </row>
    <row r="630" spans="2:24" outlineLevel="1">
      <c r="B630" s="169"/>
      <c r="C630" s="150"/>
      <c r="D630" s="150"/>
    </row>
    <row r="631" spans="2:24" ht="32.25" customHeight="1" outlineLevel="1">
      <c r="B631" s="780"/>
      <c r="C631" s="777" t="s">
        <v>599</v>
      </c>
      <c r="D631" s="778" t="s">
        <v>600</v>
      </c>
      <c r="E631" s="1391" t="s">
        <v>601</v>
      </c>
      <c r="F631" s="1392" t="s">
        <v>653</v>
      </c>
      <c r="G631" s="1392" t="s">
        <v>654</v>
      </c>
      <c r="H631" s="1392" t="s">
        <v>655</v>
      </c>
      <c r="I631" s="1393" t="s">
        <v>656</v>
      </c>
      <c r="U631" s="283"/>
    </row>
    <row r="632" spans="2:24" s="532" customFormat="1" ht="52.5" customHeight="1" outlineLevel="1">
      <c r="B632" s="526" t="s">
        <v>468</v>
      </c>
      <c r="C632" s="517" t="s">
        <v>602</v>
      </c>
      <c r="D632" s="984" t="s">
        <v>602</v>
      </c>
      <c r="E632" s="1394"/>
      <c r="F632" s="1395" t="s">
        <v>137</v>
      </c>
      <c r="G632" s="1395" t="s">
        <v>137</v>
      </c>
      <c r="H632" s="1395" t="s">
        <v>469</v>
      </c>
      <c r="I632" s="1396" t="s">
        <v>657</v>
      </c>
      <c r="J632" s="151"/>
      <c r="K632" s="151"/>
      <c r="L632" s="151"/>
      <c r="M632" s="528" t="s">
        <v>469</v>
      </c>
      <c r="N632" s="529" t="s">
        <v>469</v>
      </c>
      <c r="O632" s="529" t="s">
        <v>469</v>
      </c>
      <c r="P632" s="529" t="s">
        <v>469</v>
      </c>
      <c r="Q632" s="529" t="s">
        <v>469</v>
      </c>
      <c r="R632" s="529" t="s">
        <v>469</v>
      </c>
      <c r="S632" s="529" t="s">
        <v>469</v>
      </c>
      <c r="T632" s="530" t="s">
        <v>469</v>
      </c>
      <c r="U632" s="531" t="s">
        <v>469</v>
      </c>
      <c r="V632" s="529" t="s">
        <v>469</v>
      </c>
    </row>
    <row r="633" spans="2:24" outlineLevel="1">
      <c r="B633" s="324" t="s">
        <v>745</v>
      </c>
      <c r="C633" s="554">
        <f>IF('R6a - Net Debt input'!D431 = "","",'R6a - Net Debt input'!D431)</f>
        <v>40777</v>
      </c>
      <c r="D633" s="554">
        <f>IF('R6a - Net Debt input'!E431 = "","",'R6a - Net Debt input'!E431)</f>
        <v>57126</v>
      </c>
      <c r="E633" s="726" t="str">
        <f>IF('R6a - Net Debt input'!F431 = "","",'R6a - Net Debt input'!F431)</f>
        <v>45 YR SWAP: PAY 12M/1Y RPI 1.8230% REAL RATE GBP RCV 12M/1Y RPI 1.8230% REAL RATE GBP 150.0 M MAT: 26-MAY-2056</v>
      </c>
      <c r="F633" s="727"/>
      <c r="G633" s="727"/>
      <c r="H633" s="727"/>
      <c r="I633" s="728"/>
      <c r="M633" s="496">
        <v>-1.7</v>
      </c>
      <c r="N633" s="496">
        <v>-1.7</v>
      </c>
      <c r="O633" s="496">
        <v>-1.7</v>
      </c>
      <c r="P633" s="496">
        <v>-1.7</v>
      </c>
      <c r="Q633" s="496">
        <v>-1.7</v>
      </c>
      <c r="R633" s="496">
        <v>-1.7</v>
      </c>
      <c r="S633" s="496">
        <v>-1.7</v>
      </c>
      <c r="T633" s="496">
        <v>-1.7</v>
      </c>
      <c r="U633" s="496">
        <v>-1.7</v>
      </c>
      <c r="V633" s="496">
        <v>-1.7</v>
      </c>
    </row>
    <row r="634" spans="2:24" outlineLevel="1">
      <c r="B634" s="324" t="s">
        <v>746</v>
      </c>
      <c r="C634" s="554">
        <f>IF('R6a - Net Debt input'!D432 = "","",'R6a - Net Debt input'!D432)</f>
        <v>40777</v>
      </c>
      <c r="D634" s="554">
        <f>IF('R6a - Net Debt input'!E432 = "","",'R6a - Net Debt input'!E432)</f>
        <v>50892</v>
      </c>
      <c r="E634" s="726" t="str">
        <f>IF('R6a - Net Debt input'!F432 = "","",'R6a - Net Debt input'!F432)</f>
        <v>28 YR SWAP: PAY 12M/1Y RPI 1.8575% REAL RATE GBP RCV 12M/1Y RPI 1.8575% REAL RATE GBP 150.0 M MAT: 02-MAY-2039</v>
      </c>
      <c r="F634" s="727"/>
      <c r="G634" s="727"/>
      <c r="H634" s="727"/>
      <c r="I634" s="728"/>
      <c r="M634" s="496">
        <v>-1.3</v>
      </c>
      <c r="N634" s="496">
        <v>-1.3</v>
      </c>
      <c r="O634" s="496">
        <v>-1.3</v>
      </c>
      <c r="P634" s="496">
        <v>-1.3</v>
      </c>
      <c r="Q634" s="496">
        <v>-1.3</v>
      </c>
      <c r="R634" s="496">
        <v>-1.3</v>
      </c>
      <c r="S634" s="496">
        <v>-1.3</v>
      </c>
      <c r="T634" s="496">
        <v>-1.3</v>
      </c>
      <c r="U634" s="496">
        <v>-1.3</v>
      </c>
      <c r="V634" s="496">
        <v>-1.3</v>
      </c>
    </row>
    <row r="635" spans="2:24" outlineLevel="1">
      <c r="B635" s="324" t="s">
        <v>747</v>
      </c>
      <c r="C635" s="554">
        <f>IF('R6a - Net Debt input'!D433 = "","",'R6a - Net Debt input'!D433)</f>
        <v>40777</v>
      </c>
      <c r="D635" s="554">
        <f>IF('R6a - Net Debt input'!E433 = "","",'R6a - Net Debt input'!E433)</f>
        <v>54280</v>
      </c>
      <c r="E635" s="726" t="str">
        <f>IF('R6a - Net Debt input'!F433 = "","",'R6a - Net Debt input'!F433)</f>
        <v>37 YR SWAP: PAY 12M/1Y RPI 1.6298% REAL RATE GBP RCV 12M/1Y RPI 1.6298% REAL RATE GBP 100.0 M MAT: 10-AUG-2048</v>
      </c>
      <c r="F635" s="727"/>
      <c r="G635" s="727"/>
      <c r="H635" s="727"/>
      <c r="I635" s="728"/>
      <c r="M635" s="496">
        <v>-0.3</v>
      </c>
      <c r="N635" s="496">
        <v>-0.97542899999999999</v>
      </c>
      <c r="O635" s="496">
        <v>-0.97542899999999999</v>
      </c>
      <c r="P635" s="496">
        <v>-0.97542899999999999</v>
      </c>
      <c r="Q635" s="496">
        <v>-0.97542899999999999</v>
      </c>
      <c r="R635" s="496">
        <v>-0.97542899999999999</v>
      </c>
      <c r="S635" s="496">
        <v>-0.97542899999999999</v>
      </c>
      <c r="T635" s="496">
        <v>-0.97542899999999999</v>
      </c>
      <c r="U635" s="496">
        <v>-0.97542899999999999</v>
      </c>
      <c r="V635" s="496">
        <v>-0.97542899999999999</v>
      </c>
    </row>
    <row r="636" spans="2:24" outlineLevel="1">
      <c r="B636" s="324" t="s">
        <v>748</v>
      </c>
      <c r="C636" s="554">
        <f>IF('R6a - Net Debt input'!D434 = "","",'R6a - Net Debt input'!D434)</f>
        <v>40777</v>
      </c>
      <c r="D636" s="554">
        <f>IF('R6a - Net Debt input'!E434 = "","",'R6a - Net Debt input'!E434)</f>
        <v>54284</v>
      </c>
      <c r="E636" s="726" t="str">
        <f>IF('R6a - Net Debt input'!F434 = "","",'R6a - Net Debt input'!F434)</f>
        <v>37 YR SWAP: PAY 12M/1Y RPI 1.5522% REAL RATE GBP RCV 12M/1Y RPI 1.5522% REAL RATE GBP 100.0 M MAT: 14-AUG-2048</v>
      </c>
      <c r="F636" s="727"/>
      <c r="G636" s="727"/>
      <c r="H636" s="727"/>
      <c r="I636" s="728"/>
      <c r="M636" s="496">
        <v>-0.3</v>
      </c>
      <c r="N636" s="496">
        <v>-0.96781200000000001</v>
      </c>
      <c r="O636" s="496">
        <v>-0.96781200000000001</v>
      </c>
      <c r="P636" s="496">
        <v>-0.96781200000000001</v>
      </c>
      <c r="Q636" s="496">
        <v>-0.96781200000000001</v>
      </c>
      <c r="R636" s="496">
        <v>-0.96781200000000001</v>
      </c>
      <c r="S636" s="496">
        <v>-0.96781200000000001</v>
      </c>
      <c r="T636" s="496">
        <v>-0.96781200000000001</v>
      </c>
      <c r="U636" s="496">
        <v>-0.96781200000000001</v>
      </c>
      <c r="V636" s="496">
        <v>-0.96781200000000001</v>
      </c>
    </row>
    <row r="637" spans="2:24" outlineLevel="1">
      <c r="B637" s="326" t="s">
        <v>749</v>
      </c>
      <c r="C637" s="1403" t="s">
        <v>649</v>
      </c>
      <c r="D637" s="1404"/>
      <c r="E637" s="1404"/>
      <c r="F637" s="1404"/>
      <c r="G637" s="1404"/>
      <c r="H637" s="1404"/>
      <c r="I637" s="1405"/>
      <c r="M637" s="496">
        <v>0</v>
      </c>
      <c r="N637" s="496">
        <v>0</v>
      </c>
      <c r="O637" s="496">
        <v>0</v>
      </c>
      <c r="P637" s="496">
        <v>0</v>
      </c>
      <c r="Q637" s="496">
        <v>0</v>
      </c>
      <c r="R637" s="496">
        <v>0</v>
      </c>
      <c r="S637" s="496">
        <v>0</v>
      </c>
      <c r="T637" s="496">
        <v>0</v>
      </c>
      <c r="U637" s="496">
        <v>0</v>
      </c>
      <c r="V637" s="496">
        <v>0</v>
      </c>
    </row>
    <row r="638" spans="2:24">
      <c r="B638" s="169"/>
      <c r="E638" s="169"/>
      <c r="F638" s="169"/>
      <c r="G638" s="169"/>
      <c r="H638" s="169"/>
      <c r="L638" s="985" t="s">
        <v>750</v>
      </c>
      <c r="M638" s="474">
        <f t="shared" ref="M638:V638" si="43">SUM(M633:M637)</f>
        <v>-3.5999999999999996</v>
      </c>
      <c r="N638" s="475">
        <f t="shared" si="43"/>
        <v>-4.9432410000000004</v>
      </c>
      <c r="O638" s="475">
        <f t="shared" si="43"/>
        <v>-4.9432410000000004</v>
      </c>
      <c r="P638" s="475">
        <f t="shared" si="43"/>
        <v>-4.9432410000000004</v>
      </c>
      <c r="Q638" s="475">
        <f t="shared" si="43"/>
        <v>-4.9432410000000004</v>
      </c>
      <c r="R638" s="475">
        <f t="shared" si="43"/>
        <v>-4.9432410000000004</v>
      </c>
      <c r="S638" s="475">
        <f t="shared" si="43"/>
        <v>-4.9432410000000004</v>
      </c>
      <c r="T638" s="476">
        <f t="shared" si="43"/>
        <v>-4.9432410000000004</v>
      </c>
      <c r="U638" s="477">
        <f t="shared" si="43"/>
        <v>-4.9432410000000004</v>
      </c>
      <c r="V638" s="475">
        <f t="shared" si="43"/>
        <v>-4.9432410000000004</v>
      </c>
    </row>
    <row r="639" spans="2:24">
      <c r="B639" s="169"/>
    </row>
    <row r="640" spans="2:24" ht="17.5" outlineLevel="1">
      <c r="C640" s="150"/>
      <c r="D640" s="265" t="s">
        <v>533</v>
      </c>
      <c r="E640" s="266"/>
      <c r="F640" s="266"/>
      <c r="G640" s="266"/>
      <c r="H640" s="266"/>
      <c r="I640" s="266"/>
      <c r="J640" s="266"/>
      <c r="K640" s="266"/>
      <c r="L640" s="304"/>
      <c r="M640" s="266"/>
      <c r="N640" s="266"/>
      <c r="O640" s="266"/>
      <c r="P640" s="266"/>
      <c r="Q640" s="266"/>
      <c r="R640" s="266"/>
      <c r="S640" s="266"/>
      <c r="T640" s="266"/>
      <c r="U640" s="284"/>
      <c r="V640" s="266"/>
    </row>
    <row r="641" spans="2:24" outlineLevel="1">
      <c r="B641" s="169"/>
      <c r="C641" s="150"/>
      <c r="D641" s="150"/>
    </row>
    <row r="642" spans="2:24" ht="32.25" customHeight="1" outlineLevel="1">
      <c r="B642" s="780"/>
      <c r="C642" s="777" t="s">
        <v>599</v>
      </c>
      <c r="D642" s="778" t="s">
        <v>600</v>
      </c>
      <c r="E642" s="1391" t="s">
        <v>601</v>
      </c>
      <c r="F642" s="1392" t="s">
        <v>653</v>
      </c>
      <c r="G642" s="1392" t="s">
        <v>654</v>
      </c>
      <c r="H642" s="1392" t="s">
        <v>655</v>
      </c>
      <c r="I642" s="1393" t="s">
        <v>656</v>
      </c>
      <c r="U642" s="283"/>
    </row>
    <row r="643" spans="2:24" s="532" customFormat="1" ht="52.5" customHeight="1" outlineLevel="1">
      <c r="B643" s="526" t="s">
        <v>468</v>
      </c>
      <c r="C643" s="517" t="s">
        <v>602</v>
      </c>
      <c r="D643" s="984" t="s">
        <v>602</v>
      </c>
      <c r="E643" s="1394"/>
      <c r="F643" s="1395" t="s">
        <v>137</v>
      </c>
      <c r="G643" s="1395" t="s">
        <v>137</v>
      </c>
      <c r="H643" s="1395" t="s">
        <v>469</v>
      </c>
      <c r="I643" s="1396" t="s">
        <v>657</v>
      </c>
      <c r="J643" s="151"/>
      <c r="K643" s="151"/>
      <c r="L643" s="151"/>
      <c r="M643" s="528" t="s">
        <v>469</v>
      </c>
      <c r="N643" s="529" t="s">
        <v>469</v>
      </c>
      <c r="O643" s="529" t="s">
        <v>469</v>
      </c>
      <c r="P643" s="529" t="s">
        <v>469</v>
      </c>
      <c r="Q643" s="529" t="s">
        <v>469</v>
      </c>
      <c r="R643" s="529" t="s">
        <v>469</v>
      </c>
      <c r="S643" s="529" t="s">
        <v>469</v>
      </c>
      <c r="T643" s="530" t="s">
        <v>469</v>
      </c>
      <c r="U643" s="531" t="s">
        <v>469</v>
      </c>
      <c r="V643" s="529" t="s">
        <v>469</v>
      </c>
    </row>
    <row r="644" spans="2:24" outlineLevel="1">
      <c r="B644" s="324" t="s">
        <v>745</v>
      </c>
      <c r="C644" s="554">
        <f>IF('R6a - Net Debt input'!D431 = "","",'R6a - Net Debt input'!D431)</f>
        <v>40777</v>
      </c>
      <c r="D644" s="554">
        <f>IF('R6a - Net Debt input'!E431 = "","",'R6a - Net Debt input'!E431)</f>
        <v>57126</v>
      </c>
      <c r="E644" s="1400" t="str">
        <f>IF('R6a - Net Debt input'!F431 = "","",'R6a - Net Debt input'!F431)</f>
        <v>45 YR SWAP: PAY 12M/1Y RPI 1.8230% REAL RATE GBP RCV 12M/1Y RPI 1.8230% REAL RATE GBP 150.0 M MAT: 26-MAY-2056</v>
      </c>
      <c r="F644" s="1401" t="str">
        <f>IF('R6a - Net Debt input'!G431 = "","",'R6a - Net Debt input'!G431)</f>
        <v>GBP</v>
      </c>
      <c r="G644" s="1401" t="str">
        <f>IF('R6a - Net Debt input'!H431 = "","",'R6a - Net Debt input'!H431)</f>
        <v>GBP</v>
      </c>
      <c r="H644" s="1401">
        <f>IF('R6a - Net Debt input'!I431 = "","",'R6a - Net Debt input'!I431)</f>
        <v>150</v>
      </c>
      <c r="I644" s="1402" t="str">
        <f>IF('R6a - Net Debt input'!J431 = "","",'R6a - Net Debt input'!J431)</f>
        <v>12m</v>
      </c>
      <c r="M644" s="496">
        <v>0</v>
      </c>
      <c r="N644" s="496">
        <v>0</v>
      </c>
      <c r="O644" s="496">
        <v>0</v>
      </c>
      <c r="P644" s="496">
        <v>0</v>
      </c>
      <c r="Q644" s="496">
        <v>0</v>
      </c>
      <c r="R644" s="496">
        <v>0</v>
      </c>
      <c r="S644" s="496">
        <v>0</v>
      </c>
      <c r="T644" s="496">
        <v>0</v>
      </c>
      <c r="U644" s="496">
        <v>0</v>
      </c>
      <c r="V644" s="496">
        <v>0</v>
      </c>
    </row>
    <row r="645" spans="2:24" outlineLevel="1">
      <c r="B645" s="324" t="s">
        <v>746</v>
      </c>
      <c r="C645" s="553">
        <f>IF('R6a - Net Debt input'!D432 = "","",'R6a - Net Debt input'!D432)</f>
        <v>40777</v>
      </c>
      <c r="D645" s="553">
        <f>IF('R6a - Net Debt input'!E432 = "","",'R6a - Net Debt input'!E432)</f>
        <v>50892</v>
      </c>
      <c r="E645" s="1417" t="str">
        <f>IF('R6a - Net Debt input'!F432 = "","",'R6a - Net Debt input'!F432)</f>
        <v>28 YR SWAP: PAY 12M/1Y RPI 1.8575% REAL RATE GBP RCV 12M/1Y RPI 1.8575% REAL RATE GBP 150.0 M MAT: 02-MAY-2039</v>
      </c>
      <c r="F645" s="1420" t="str">
        <f>IF('R6a - Net Debt input'!G432 = "","",'R6a - Net Debt input'!G432)</f>
        <v>GBP</v>
      </c>
      <c r="G645" s="1420" t="str">
        <f>IF('R6a - Net Debt input'!H432 = "","",'R6a - Net Debt input'!H432)</f>
        <v>GBP</v>
      </c>
      <c r="H645" s="1420">
        <f>IF('R6a - Net Debt input'!I432 = "","",'R6a - Net Debt input'!I432)</f>
        <v>150</v>
      </c>
      <c r="I645" s="1421" t="str">
        <f>IF('R6a - Net Debt input'!J432 = "","",'R6a - Net Debt input'!J432)</f>
        <v>12m</v>
      </c>
      <c r="M645" s="496">
        <v>0</v>
      </c>
      <c r="N645" s="496">
        <v>0</v>
      </c>
      <c r="O645" s="496">
        <v>0</v>
      </c>
      <c r="P645" s="496">
        <v>0</v>
      </c>
      <c r="Q645" s="496">
        <v>0</v>
      </c>
      <c r="R645" s="496">
        <v>0</v>
      </c>
      <c r="S645" s="496">
        <v>0</v>
      </c>
      <c r="T645" s="496">
        <v>0</v>
      </c>
      <c r="U645" s="496">
        <v>0</v>
      </c>
      <c r="V645" s="496">
        <v>0</v>
      </c>
    </row>
    <row r="646" spans="2:24" outlineLevel="1">
      <c r="B646" s="324" t="s">
        <v>747</v>
      </c>
      <c r="C646" s="553">
        <f>IF('R6a - Net Debt input'!D433 = "","",'R6a - Net Debt input'!D433)</f>
        <v>40777</v>
      </c>
      <c r="D646" s="553">
        <f>IF('R6a - Net Debt input'!E433 = "","",'R6a - Net Debt input'!E433)</f>
        <v>54280</v>
      </c>
      <c r="E646" s="1417" t="str">
        <f>IF('R6a - Net Debt input'!F433 = "","",'R6a - Net Debt input'!F433)</f>
        <v>37 YR SWAP: PAY 12M/1Y RPI 1.6298% REAL RATE GBP RCV 12M/1Y RPI 1.6298% REAL RATE GBP 100.0 M MAT: 10-AUG-2048</v>
      </c>
      <c r="F646" s="1420" t="str">
        <f>IF('R6a - Net Debt input'!G433 = "","",'R6a - Net Debt input'!G433)</f>
        <v>GBP</v>
      </c>
      <c r="G646" s="1420" t="str">
        <f>IF('R6a - Net Debt input'!H433 = "","",'R6a - Net Debt input'!H433)</f>
        <v>GBP</v>
      </c>
      <c r="H646" s="1420">
        <f>IF('R6a - Net Debt input'!I433 = "","",'R6a - Net Debt input'!I433)</f>
        <v>100</v>
      </c>
      <c r="I646" s="1421" t="str">
        <f>IF('R6a - Net Debt input'!J433 = "","",'R6a - Net Debt input'!J433)</f>
        <v>6m</v>
      </c>
      <c r="M646" s="496">
        <v>0</v>
      </c>
      <c r="N646" s="496">
        <v>0</v>
      </c>
      <c r="O646" s="496">
        <v>0</v>
      </c>
      <c r="P646" s="496">
        <v>0</v>
      </c>
      <c r="Q646" s="496">
        <v>0</v>
      </c>
      <c r="R646" s="496">
        <v>0</v>
      </c>
      <c r="S646" s="496">
        <v>0</v>
      </c>
      <c r="T646" s="496">
        <v>0</v>
      </c>
      <c r="U646" s="496">
        <v>0</v>
      </c>
      <c r="V646" s="496">
        <v>0</v>
      </c>
    </row>
    <row r="647" spans="2:24" outlineLevel="1">
      <c r="B647" s="324" t="s">
        <v>748</v>
      </c>
      <c r="C647" s="553">
        <f>IF('R6a - Net Debt input'!D434 = "","",'R6a - Net Debt input'!D434)</f>
        <v>40777</v>
      </c>
      <c r="D647" s="553">
        <f>IF('R6a - Net Debt input'!E434 = "","",'R6a - Net Debt input'!E434)</f>
        <v>54284</v>
      </c>
      <c r="E647" s="1417" t="str">
        <f>IF('R6a - Net Debt input'!F434 = "","",'R6a - Net Debt input'!F434)</f>
        <v>37 YR SWAP: PAY 12M/1Y RPI 1.5522% REAL RATE GBP RCV 12M/1Y RPI 1.5522% REAL RATE GBP 100.0 M MAT: 14-AUG-2048</v>
      </c>
      <c r="F647" s="1420" t="str">
        <f>IF('R6a - Net Debt input'!G434 = "","",'R6a - Net Debt input'!G434)</f>
        <v>GBP</v>
      </c>
      <c r="G647" s="1420" t="str">
        <f>IF('R6a - Net Debt input'!H434 = "","",'R6a - Net Debt input'!H434)</f>
        <v>GBP</v>
      </c>
      <c r="H647" s="1420">
        <f>IF('R6a - Net Debt input'!I434 = "","",'R6a - Net Debt input'!I434)</f>
        <v>100</v>
      </c>
      <c r="I647" s="1421" t="str">
        <f>IF('R6a - Net Debt input'!J434 = "","",'R6a - Net Debt input'!J434)</f>
        <v>6m</v>
      </c>
      <c r="M647" s="496">
        <v>0</v>
      </c>
      <c r="N647" s="496">
        <v>0</v>
      </c>
      <c r="O647" s="496">
        <v>0</v>
      </c>
      <c r="P647" s="496">
        <v>0</v>
      </c>
      <c r="Q647" s="496">
        <v>0</v>
      </c>
      <c r="R647" s="496">
        <v>0</v>
      </c>
      <c r="S647" s="496">
        <v>0</v>
      </c>
      <c r="T647" s="496">
        <v>0</v>
      </c>
      <c r="U647" s="496">
        <v>0</v>
      </c>
      <c r="V647" s="496">
        <v>0</v>
      </c>
    </row>
    <row r="648" spans="2:24" outlineLevel="1">
      <c r="B648" s="324"/>
      <c r="C648" s="553"/>
      <c r="D648" s="553"/>
      <c r="E648" s="1417"/>
      <c r="F648" s="1420"/>
      <c r="G648" s="1420"/>
      <c r="H648" s="1420"/>
      <c r="I648" s="1421"/>
      <c r="M648" s="496">
        <v>0</v>
      </c>
      <c r="N648" s="496">
        <v>0</v>
      </c>
      <c r="O648" s="496">
        <v>0</v>
      </c>
      <c r="P648" s="496">
        <v>0</v>
      </c>
      <c r="Q648" s="496">
        <v>0</v>
      </c>
      <c r="R648" s="496">
        <v>0</v>
      </c>
      <c r="S648" s="496">
        <v>0</v>
      </c>
      <c r="T648" s="496">
        <v>0</v>
      </c>
      <c r="U648" s="496">
        <v>0</v>
      </c>
      <c r="V648" s="496">
        <v>0</v>
      </c>
    </row>
    <row r="649" spans="2:24" outlineLevel="1">
      <c r="B649" s="324"/>
      <c r="C649" s="553"/>
      <c r="D649" s="553"/>
      <c r="E649" s="1417"/>
      <c r="F649" s="1420"/>
      <c r="G649" s="1420"/>
      <c r="H649" s="1420"/>
      <c r="I649" s="1421"/>
      <c r="M649" s="496">
        <v>0</v>
      </c>
      <c r="N649" s="496">
        <v>0</v>
      </c>
      <c r="O649" s="496">
        <v>0</v>
      </c>
      <c r="P649" s="496">
        <v>0</v>
      </c>
      <c r="Q649" s="496">
        <v>0</v>
      </c>
      <c r="R649" s="496">
        <v>0</v>
      </c>
      <c r="S649" s="496">
        <v>0</v>
      </c>
      <c r="T649" s="496">
        <v>0</v>
      </c>
      <c r="U649" s="496">
        <v>0</v>
      </c>
      <c r="V649" s="496">
        <v>0</v>
      </c>
    </row>
    <row r="650" spans="2:24" outlineLevel="1">
      <c r="B650" s="324"/>
      <c r="C650" s="553"/>
      <c r="D650" s="553"/>
      <c r="E650" s="1417"/>
      <c r="F650" s="1420"/>
      <c r="G650" s="1420"/>
      <c r="H650" s="1420"/>
      <c r="I650" s="1421"/>
      <c r="M650" s="496">
        <v>0</v>
      </c>
      <c r="N650" s="496">
        <v>0</v>
      </c>
      <c r="O650" s="496">
        <v>0</v>
      </c>
      <c r="P650" s="496">
        <v>0</v>
      </c>
      <c r="Q650" s="496">
        <v>0</v>
      </c>
      <c r="R650" s="496">
        <v>0</v>
      </c>
      <c r="S650" s="496">
        <v>0</v>
      </c>
      <c r="T650" s="496">
        <v>0</v>
      </c>
      <c r="U650" s="496">
        <v>0</v>
      </c>
      <c r="V650" s="496">
        <v>0</v>
      </c>
    </row>
    <row r="651" spans="2:24" outlineLevel="1">
      <c r="B651" s="324"/>
      <c r="C651" s="553"/>
      <c r="D651" s="553"/>
      <c r="E651" s="1417"/>
      <c r="F651" s="1420"/>
      <c r="G651" s="1420"/>
      <c r="H651" s="1420"/>
      <c r="I651" s="1421"/>
      <c r="M651" s="496">
        <v>0</v>
      </c>
      <c r="N651" s="496">
        <v>0</v>
      </c>
      <c r="O651" s="496">
        <v>0</v>
      </c>
      <c r="P651" s="496">
        <v>0</v>
      </c>
      <c r="Q651" s="496">
        <v>0</v>
      </c>
      <c r="R651" s="496">
        <v>0</v>
      </c>
      <c r="S651" s="496">
        <v>0</v>
      </c>
      <c r="T651" s="496">
        <v>0</v>
      </c>
      <c r="U651" s="496">
        <v>0</v>
      </c>
      <c r="V651" s="496">
        <v>0</v>
      </c>
    </row>
    <row r="652" spans="2:24" outlineLevel="1">
      <c r="B652" s="324"/>
      <c r="C652" s="553"/>
      <c r="D652" s="553"/>
      <c r="E652" s="1417"/>
      <c r="F652" s="1420"/>
      <c r="G652" s="1420"/>
      <c r="H652" s="1420"/>
      <c r="I652" s="1421"/>
      <c r="M652" s="496">
        <v>0</v>
      </c>
      <c r="N652" s="496">
        <v>0</v>
      </c>
      <c r="O652" s="496">
        <v>0</v>
      </c>
      <c r="P652" s="496">
        <v>0</v>
      </c>
      <c r="Q652" s="496">
        <v>0</v>
      </c>
      <c r="R652" s="496">
        <v>0</v>
      </c>
      <c r="S652" s="496">
        <v>0</v>
      </c>
      <c r="T652" s="496">
        <v>0</v>
      </c>
      <c r="U652" s="496">
        <v>0</v>
      </c>
      <c r="V652" s="496">
        <v>0</v>
      </c>
    </row>
    <row r="653" spans="2:24" outlineLevel="1">
      <c r="B653" s="326" t="s">
        <v>749</v>
      </c>
      <c r="C653" s="1403" t="s">
        <v>649</v>
      </c>
      <c r="D653" s="1404"/>
      <c r="E653" s="1404"/>
      <c r="F653" s="1404"/>
      <c r="G653" s="1404"/>
      <c r="H653" s="1404"/>
      <c r="I653" s="1405"/>
      <c r="M653" s="496">
        <v>0</v>
      </c>
      <c r="N653" s="496">
        <v>0</v>
      </c>
      <c r="O653" s="496">
        <v>0</v>
      </c>
      <c r="P653" s="496">
        <v>0</v>
      </c>
      <c r="Q653" s="496">
        <v>0</v>
      </c>
      <c r="R653" s="496">
        <v>0</v>
      </c>
      <c r="S653" s="496">
        <v>0</v>
      </c>
      <c r="T653" s="496">
        <v>0</v>
      </c>
      <c r="U653" s="496">
        <v>0</v>
      </c>
      <c r="V653" s="496">
        <v>0</v>
      </c>
    </row>
    <row r="654" spans="2:24">
      <c r="B654" s="169"/>
      <c r="E654" s="169"/>
      <c r="F654" s="169"/>
      <c r="G654" s="169"/>
      <c r="H654" s="169"/>
      <c r="L654" s="985" t="s">
        <v>750</v>
      </c>
      <c r="M654" s="474">
        <f>SUM(M644:M653)</f>
        <v>0</v>
      </c>
      <c r="N654" s="475">
        <f t="shared" ref="N654:V654" si="44">SUM(N644:N653)</f>
        <v>0</v>
      </c>
      <c r="O654" s="475">
        <f t="shared" si="44"/>
        <v>0</v>
      </c>
      <c r="P654" s="475">
        <f t="shared" si="44"/>
        <v>0</v>
      </c>
      <c r="Q654" s="475">
        <f t="shared" si="44"/>
        <v>0</v>
      </c>
      <c r="R654" s="475">
        <f t="shared" si="44"/>
        <v>0</v>
      </c>
      <c r="S654" s="475">
        <f t="shared" si="44"/>
        <v>0</v>
      </c>
      <c r="T654" s="476">
        <f t="shared" si="44"/>
        <v>0</v>
      </c>
      <c r="U654" s="477">
        <f t="shared" si="44"/>
        <v>0</v>
      </c>
      <c r="V654" s="475">
        <f t="shared" si="44"/>
        <v>0</v>
      </c>
    </row>
    <row r="655" spans="2:24">
      <c r="B655" s="169"/>
      <c r="E655" s="169"/>
      <c r="F655" s="169"/>
      <c r="G655" s="169"/>
      <c r="H655" s="169"/>
      <c r="X655" s="283"/>
    </row>
    <row r="656" spans="2:24" ht="14">
      <c r="B656" s="254" t="s">
        <v>751</v>
      </c>
      <c r="C656" s="255" t="s">
        <v>752</v>
      </c>
      <c r="D656" s="255"/>
      <c r="E656" s="255"/>
      <c r="F656" s="255"/>
      <c r="G656" s="256"/>
      <c r="H656" s="256"/>
      <c r="I656" s="256"/>
      <c r="J656" s="256"/>
      <c r="K656" s="256"/>
      <c r="L656" s="254"/>
      <c r="M656" s="255"/>
      <c r="N656" s="255"/>
      <c r="O656" s="255"/>
      <c r="P656" s="255"/>
      <c r="Q656" s="255"/>
      <c r="R656" s="255"/>
      <c r="S656" s="255"/>
      <c r="T656" s="255"/>
      <c r="U656" s="288"/>
      <c r="V656" s="255"/>
    </row>
    <row r="658" spans="2:22" ht="17.5" outlineLevel="1">
      <c r="B658" s="153"/>
      <c r="C658" s="150"/>
      <c r="D658" s="265" t="s">
        <v>467</v>
      </c>
      <c r="E658" s="267"/>
      <c r="F658" s="267"/>
      <c r="G658" s="266"/>
      <c r="H658" s="266"/>
      <c r="I658" s="266"/>
      <c r="J658" s="266"/>
      <c r="K658" s="266"/>
      <c r="L658" s="304"/>
      <c r="M658" s="267"/>
      <c r="N658" s="267"/>
      <c r="O658" s="267"/>
      <c r="P658" s="267"/>
      <c r="Q658" s="267"/>
      <c r="R658" s="267"/>
      <c r="S658" s="267"/>
      <c r="T658" s="267"/>
      <c r="U658" s="290"/>
      <c r="V658" s="267"/>
    </row>
    <row r="660" spans="2:22" ht="25.5" customHeight="1" outlineLevel="1">
      <c r="B660" s="781"/>
      <c r="C660" s="777" t="s">
        <v>599</v>
      </c>
      <c r="D660" s="777" t="s">
        <v>600</v>
      </c>
      <c r="E660" s="1391" t="s">
        <v>601</v>
      </c>
      <c r="F660" s="1392"/>
      <c r="G660" s="1392"/>
      <c r="H660" s="1392"/>
      <c r="I660" s="1393"/>
      <c r="U660" s="283"/>
    </row>
    <row r="661" spans="2:22" ht="25.5" customHeight="1" outlineLevel="1">
      <c r="B661" s="343" t="s">
        <v>468</v>
      </c>
      <c r="C661" s="337" t="s">
        <v>602</v>
      </c>
      <c r="D661" s="337" t="s">
        <v>602</v>
      </c>
      <c r="E661" s="1394"/>
      <c r="F661" s="1395"/>
      <c r="G661" s="1395"/>
      <c r="H661" s="1395"/>
      <c r="I661" s="1396"/>
      <c r="M661" s="196" t="s">
        <v>469</v>
      </c>
      <c r="N661" s="197" t="s">
        <v>469</v>
      </c>
      <c r="O661" s="197" t="s">
        <v>469</v>
      </c>
      <c r="P661" s="197" t="s">
        <v>469</v>
      </c>
      <c r="Q661" s="197" t="s">
        <v>469</v>
      </c>
      <c r="R661" s="197" t="s">
        <v>469</v>
      </c>
      <c r="S661" s="197" t="s">
        <v>469</v>
      </c>
      <c r="T661" s="278" t="s">
        <v>469</v>
      </c>
      <c r="U661" s="296" t="s">
        <v>469</v>
      </c>
      <c r="V661" s="197" t="s">
        <v>469</v>
      </c>
    </row>
    <row r="662" spans="2:22" outlineLevel="1">
      <c r="B662" s="345" t="s">
        <v>753</v>
      </c>
      <c r="C662" s="554" t="str">
        <f>IF('R6a - Net Debt input'!D454 = "","",'R6a - Net Debt input'!D454)</f>
        <v/>
      </c>
      <c r="D662" s="554" t="str">
        <f>IF('R6a - Net Debt input'!E454 = "","",'R6a - Net Debt input'!E454)</f>
        <v/>
      </c>
      <c r="E662" s="726" t="str">
        <f>IF('R6a - Net Debt input'!F454 = "","",'R6a - Net Debt input'!F454)</f>
        <v/>
      </c>
      <c r="F662" s="727"/>
      <c r="G662" s="727"/>
      <c r="H662" s="727"/>
      <c r="I662" s="728"/>
      <c r="M662" s="496">
        <v>0</v>
      </c>
      <c r="N662" s="496">
        <v>0</v>
      </c>
      <c r="O662" s="496">
        <v>0</v>
      </c>
      <c r="P662" s="496">
        <v>0</v>
      </c>
      <c r="Q662" s="496">
        <v>0</v>
      </c>
      <c r="R662" s="496">
        <v>0</v>
      </c>
      <c r="S662" s="496">
        <v>0</v>
      </c>
      <c r="T662" s="496">
        <v>0</v>
      </c>
      <c r="U662" s="496">
        <v>0</v>
      </c>
      <c r="V662" s="496">
        <v>0</v>
      </c>
    </row>
    <row r="663" spans="2:22" outlineLevel="1">
      <c r="B663" s="324" t="s">
        <v>754</v>
      </c>
      <c r="C663" s="554" t="str">
        <f>IF('R6a - Net Debt input'!D455 = "","",'R6a - Net Debt input'!D455)</f>
        <v/>
      </c>
      <c r="D663" s="554" t="str">
        <f>IF('R6a - Net Debt input'!E455 = "","",'R6a - Net Debt input'!E455)</f>
        <v/>
      </c>
      <c r="E663" s="726" t="str">
        <f>IF('R6a - Net Debt input'!F455 = "","",'R6a - Net Debt input'!F455)</f>
        <v/>
      </c>
      <c r="F663" s="727"/>
      <c r="G663" s="727"/>
      <c r="H663" s="727"/>
      <c r="I663" s="728"/>
      <c r="M663" s="496">
        <v>0</v>
      </c>
      <c r="N663" s="496">
        <v>0</v>
      </c>
      <c r="O663" s="496">
        <v>0</v>
      </c>
      <c r="P663" s="496">
        <v>0</v>
      </c>
      <c r="Q663" s="496">
        <v>0</v>
      </c>
      <c r="R663" s="496">
        <v>0</v>
      </c>
      <c r="S663" s="496">
        <v>0</v>
      </c>
      <c r="T663" s="496">
        <v>0</v>
      </c>
      <c r="U663" s="496">
        <v>0</v>
      </c>
      <c r="V663" s="496">
        <v>0</v>
      </c>
    </row>
    <row r="664" spans="2:22" outlineLevel="1">
      <c r="B664" s="324" t="s">
        <v>755</v>
      </c>
      <c r="C664" s="554" t="str">
        <f>IF('R6a - Net Debt input'!D456 = "","",'R6a - Net Debt input'!D456)</f>
        <v/>
      </c>
      <c r="D664" s="554" t="str">
        <f>IF('R6a - Net Debt input'!E456 = "","",'R6a - Net Debt input'!E456)</f>
        <v/>
      </c>
      <c r="E664" s="726" t="str">
        <f>IF('R6a - Net Debt input'!F456 = "","",'R6a - Net Debt input'!F456)</f>
        <v/>
      </c>
      <c r="F664" s="727"/>
      <c r="G664" s="727"/>
      <c r="H664" s="727"/>
      <c r="I664" s="728"/>
      <c r="M664" s="496">
        <v>0</v>
      </c>
      <c r="N664" s="496">
        <v>0</v>
      </c>
      <c r="O664" s="496">
        <v>0</v>
      </c>
      <c r="P664" s="496">
        <v>0</v>
      </c>
      <c r="Q664" s="496">
        <v>0</v>
      </c>
      <c r="R664" s="496">
        <v>0</v>
      </c>
      <c r="S664" s="496">
        <v>0</v>
      </c>
      <c r="T664" s="496">
        <v>0</v>
      </c>
      <c r="U664" s="496">
        <v>0</v>
      </c>
      <c r="V664" s="496">
        <v>0</v>
      </c>
    </row>
    <row r="665" spans="2:22" outlineLevel="1">
      <c r="B665" s="324" t="s">
        <v>756</v>
      </c>
      <c r="C665" s="554" t="str">
        <f>IF('R6a - Net Debt input'!D457 = "","",'R6a - Net Debt input'!D457)</f>
        <v/>
      </c>
      <c r="D665" s="554" t="str">
        <f>IF('R6a - Net Debt input'!E457 = "","",'R6a - Net Debt input'!E457)</f>
        <v/>
      </c>
      <c r="E665" s="726" t="str">
        <f>IF('R6a - Net Debt input'!F457 = "","",'R6a - Net Debt input'!F457)</f>
        <v/>
      </c>
      <c r="F665" s="727"/>
      <c r="G665" s="727"/>
      <c r="H665" s="727"/>
      <c r="I665" s="728"/>
      <c r="M665" s="496">
        <v>0</v>
      </c>
      <c r="N665" s="496">
        <v>0</v>
      </c>
      <c r="O665" s="496">
        <v>0</v>
      </c>
      <c r="P665" s="496">
        <v>0</v>
      </c>
      <c r="Q665" s="496">
        <v>0</v>
      </c>
      <c r="R665" s="496">
        <v>0</v>
      </c>
      <c r="S665" s="496">
        <v>0</v>
      </c>
      <c r="T665" s="496">
        <v>0</v>
      </c>
      <c r="U665" s="496">
        <v>0</v>
      </c>
      <c r="V665" s="496">
        <v>0</v>
      </c>
    </row>
    <row r="666" spans="2:22" outlineLevel="1">
      <c r="B666" s="326" t="s">
        <v>757</v>
      </c>
      <c r="C666" s="1403" t="s">
        <v>649</v>
      </c>
      <c r="D666" s="1404"/>
      <c r="E666" s="1404"/>
      <c r="F666" s="1404"/>
      <c r="G666" s="1404"/>
      <c r="H666" s="1404"/>
      <c r="I666" s="1405"/>
      <c r="M666" s="496">
        <v>0</v>
      </c>
      <c r="N666" s="496">
        <v>0</v>
      </c>
      <c r="O666" s="496">
        <v>0</v>
      </c>
      <c r="P666" s="496">
        <v>0</v>
      </c>
      <c r="Q666" s="496">
        <v>0</v>
      </c>
      <c r="R666" s="496">
        <v>0</v>
      </c>
      <c r="S666" s="496">
        <v>0</v>
      </c>
      <c r="T666" s="496">
        <v>0</v>
      </c>
      <c r="U666" s="496">
        <v>0</v>
      </c>
      <c r="V666" s="496">
        <v>0</v>
      </c>
    </row>
    <row r="667" spans="2:22">
      <c r="B667" s="169"/>
      <c r="E667" s="169"/>
      <c r="F667" s="169"/>
      <c r="G667" s="169"/>
      <c r="H667" s="169"/>
      <c r="L667" s="985" t="s">
        <v>758</v>
      </c>
      <c r="M667" s="474">
        <f t="shared" ref="M667:V667" si="45">SUM(M662:M666)</f>
        <v>0</v>
      </c>
      <c r="N667" s="475">
        <f t="shared" si="45"/>
        <v>0</v>
      </c>
      <c r="O667" s="475">
        <f t="shared" si="45"/>
        <v>0</v>
      </c>
      <c r="P667" s="475">
        <f t="shared" si="45"/>
        <v>0</v>
      </c>
      <c r="Q667" s="475">
        <f t="shared" si="45"/>
        <v>0</v>
      </c>
      <c r="R667" s="475">
        <f t="shared" si="45"/>
        <v>0</v>
      </c>
      <c r="S667" s="475">
        <f t="shared" si="45"/>
        <v>0</v>
      </c>
      <c r="T667" s="476">
        <f t="shared" si="45"/>
        <v>0</v>
      </c>
      <c r="U667" s="477">
        <f t="shared" si="45"/>
        <v>0</v>
      </c>
      <c r="V667" s="475">
        <f t="shared" si="45"/>
        <v>0</v>
      </c>
    </row>
    <row r="668" spans="2:22">
      <c r="B668" s="169"/>
    </row>
    <row r="669" spans="2:22" ht="17.5" outlineLevel="1">
      <c r="C669" s="150"/>
      <c r="D669" s="265" t="s">
        <v>533</v>
      </c>
      <c r="E669" s="266"/>
      <c r="F669" s="266"/>
      <c r="G669" s="266"/>
      <c r="H669" s="266"/>
      <c r="I669" s="266"/>
      <c r="J669" s="266"/>
      <c r="K669" s="266"/>
      <c r="L669" s="304"/>
      <c r="M669" s="266"/>
      <c r="N669" s="266"/>
      <c r="O669" s="266"/>
      <c r="P669" s="266"/>
      <c r="Q669" s="266"/>
      <c r="R669" s="266"/>
      <c r="S669" s="266"/>
      <c r="T669" s="266"/>
      <c r="U669" s="284"/>
      <c r="V669" s="266"/>
    </row>
    <row r="670" spans="2:22" outlineLevel="1">
      <c r="B670" s="169"/>
    </row>
    <row r="671" spans="2:22" ht="25.5" customHeight="1" outlineLevel="1">
      <c r="B671" s="781"/>
      <c r="C671" s="777" t="s">
        <v>599</v>
      </c>
      <c r="D671" s="777" t="s">
        <v>600</v>
      </c>
      <c r="E671" s="1391" t="s">
        <v>601</v>
      </c>
      <c r="F671" s="1392"/>
      <c r="G671" s="1392"/>
      <c r="H671" s="1392"/>
      <c r="I671" s="1393"/>
      <c r="U671" s="283"/>
    </row>
    <row r="672" spans="2:22" ht="25.5" customHeight="1" outlineLevel="1">
      <c r="B672" s="343" t="s">
        <v>468</v>
      </c>
      <c r="C672" s="337" t="s">
        <v>602</v>
      </c>
      <c r="D672" s="337" t="s">
        <v>602</v>
      </c>
      <c r="E672" s="1394"/>
      <c r="F672" s="1395"/>
      <c r="G672" s="1395"/>
      <c r="H672" s="1395"/>
      <c r="I672" s="1396"/>
      <c r="M672" s="196" t="s">
        <v>469</v>
      </c>
      <c r="N672" s="197" t="s">
        <v>469</v>
      </c>
      <c r="O672" s="197" t="s">
        <v>469</v>
      </c>
      <c r="P672" s="197" t="s">
        <v>469</v>
      </c>
      <c r="Q672" s="197" t="s">
        <v>469</v>
      </c>
      <c r="R672" s="197" t="s">
        <v>469</v>
      </c>
      <c r="S672" s="197" t="s">
        <v>469</v>
      </c>
      <c r="T672" s="278" t="s">
        <v>469</v>
      </c>
      <c r="U672" s="296" t="s">
        <v>469</v>
      </c>
      <c r="V672" s="197" t="s">
        <v>469</v>
      </c>
    </row>
    <row r="673" spans="2:22" outlineLevel="1">
      <c r="B673" s="345" t="s">
        <v>753</v>
      </c>
      <c r="C673" s="554" t="str">
        <f>IF('R6a - Net Debt input'!D454 = "","",'R6a - Net Debt input'!D454)</f>
        <v/>
      </c>
      <c r="D673" s="554" t="str">
        <f>IF('R6a - Net Debt input'!E454 = "","",'R6a - Net Debt input'!E454)</f>
        <v/>
      </c>
      <c r="E673" s="1400" t="str">
        <f>IF('R6a - Net Debt input'!F454 = "","",'R6a - Net Debt input'!F454)</f>
        <v/>
      </c>
      <c r="F673" s="1401" t="str">
        <f>IF('R6a - Net Debt input'!G454 = "","",'R6a - Net Debt input'!G454)</f>
        <v/>
      </c>
      <c r="G673" s="1401" t="str">
        <f>IF('R6a - Net Debt input'!H454 = "","",'R6a - Net Debt input'!H454)</f>
        <v/>
      </c>
      <c r="H673" s="1401" t="str">
        <f>IF('R6a - Net Debt input'!I454 = "","",'R6a - Net Debt input'!I454)</f>
        <v/>
      </c>
      <c r="I673" s="1402" t="str">
        <f>IF('R6a - Net Debt input'!J454 = "","",'R6a - Net Debt input'!J454)</f>
        <v/>
      </c>
      <c r="M673" s="496">
        <v>0</v>
      </c>
      <c r="N673" s="496">
        <v>0</v>
      </c>
      <c r="O673" s="496">
        <v>0</v>
      </c>
      <c r="P673" s="496">
        <v>0</v>
      </c>
      <c r="Q673" s="496">
        <v>0</v>
      </c>
      <c r="R673" s="496">
        <v>0</v>
      </c>
      <c r="S673" s="496">
        <v>0</v>
      </c>
      <c r="T673" s="496">
        <v>0</v>
      </c>
      <c r="U673" s="496">
        <v>0</v>
      </c>
      <c r="V673" s="496">
        <v>0</v>
      </c>
    </row>
    <row r="674" spans="2:22" outlineLevel="1">
      <c r="B674" s="324" t="s">
        <v>754</v>
      </c>
      <c r="C674" s="554" t="str">
        <f>IF('R6a - Net Debt input'!D455 = "","",'R6a - Net Debt input'!D455)</f>
        <v/>
      </c>
      <c r="D674" s="554" t="str">
        <f>IF('R6a - Net Debt input'!E455 = "","",'R6a - Net Debt input'!E455)</f>
        <v/>
      </c>
      <c r="E674" s="1417" t="str">
        <f>IF('R6a - Net Debt input'!F455 = "","",'R6a - Net Debt input'!F455)</f>
        <v/>
      </c>
      <c r="F674" s="1420" t="str">
        <f>IF('R6a - Net Debt input'!G455 = "","",'R6a - Net Debt input'!G455)</f>
        <v/>
      </c>
      <c r="G674" s="1420" t="str">
        <f>IF('R6a - Net Debt input'!H455 = "","",'R6a - Net Debt input'!H455)</f>
        <v/>
      </c>
      <c r="H674" s="1420" t="str">
        <f>IF('R6a - Net Debt input'!I455 = "","",'R6a - Net Debt input'!I455)</f>
        <v/>
      </c>
      <c r="I674" s="1421" t="str">
        <f>IF('R6a - Net Debt input'!J455 = "","",'R6a - Net Debt input'!J455)</f>
        <v/>
      </c>
      <c r="M674" s="496">
        <v>0</v>
      </c>
      <c r="N674" s="496">
        <v>0</v>
      </c>
      <c r="O674" s="496">
        <v>0</v>
      </c>
      <c r="P674" s="496">
        <v>0</v>
      </c>
      <c r="Q674" s="496">
        <v>0</v>
      </c>
      <c r="R674" s="496">
        <v>0</v>
      </c>
      <c r="S674" s="496">
        <v>0</v>
      </c>
      <c r="T674" s="496">
        <v>0</v>
      </c>
      <c r="U674" s="496">
        <v>0</v>
      </c>
      <c r="V674" s="496">
        <v>0</v>
      </c>
    </row>
    <row r="675" spans="2:22" outlineLevel="1">
      <c r="B675" s="324" t="s">
        <v>755</v>
      </c>
      <c r="C675" s="554" t="str">
        <f>IF('R6a - Net Debt input'!D456 = "","",'R6a - Net Debt input'!D456)</f>
        <v/>
      </c>
      <c r="D675" s="554" t="str">
        <f>IF('R6a - Net Debt input'!E456 = "","",'R6a - Net Debt input'!E456)</f>
        <v/>
      </c>
      <c r="E675" s="1417" t="str">
        <f>IF('R6a - Net Debt input'!F456 = "","",'R6a - Net Debt input'!F456)</f>
        <v/>
      </c>
      <c r="F675" s="1420" t="str">
        <f>IF('R6a - Net Debt input'!G456 = "","",'R6a - Net Debt input'!G456)</f>
        <v/>
      </c>
      <c r="G675" s="1420" t="str">
        <f>IF('R6a - Net Debt input'!H456 = "","",'R6a - Net Debt input'!H456)</f>
        <v/>
      </c>
      <c r="H675" s="1420" t="str">
        <f>IF('R6a - Net Debt input'!I456 = "","",'R6a - Net Debt input'!I456)</f>
        <v/>
      </c>
      <c r="I675" s="1421" t="str">
        <f>IF('R6a - Net Debt input'!J456 = "","",'R6a - Net Debt input'!J456)</f>
        <v/>
      </c>
      <c r="M675" s="496">
        <v>0</v>
      </c>
      <c r="N675" s="496">
        <v>0</v>
      </c>
      <c r="O675" s="496">
        <v>0</v>
      </c>
      <c r="P675" s="496">
        <v>0</v>
      </c>
      <c r="Q675" s="496">
        <v>0</v>
      </c>
      <c r="R675" s="496">
        <v>0</v>
      </c>
      <c r="S675" s="496">
        <v>0</v>
      </c>
      <c r="T675" s="496">
        <v>0</v>
      </c>
      <c r="U675" s="496">
        <v>0</v>
      </c>
      <c r="V675" s="496">
        <v>0</v>
      </c>
    </row>
    <row r="676" spans="2:22" outlineLevel="1">
      <c r="B676" s="324" t="s">
        <v>756</v>
      </c>
      <c r="C676" s="554" t="str">
        <f>IF('R6a - Net Debt input'!D457 = "","",'R6a - Net Debt input'!D457)</f>
        <v/>
      </c>
      <c r="D676" s="554" t="str">
        <f>IF('R6a - Net Debt input'!E457 = "","",'R6a - Net Debt input'!E457)</f>
        <v/>
      </c>
      <c r="E676" s="1417" t="str">
        <f>IF('R6a - Net Debt input'!F457 = "","",'R6a - Net Debt input'!F457)</f>
        <v/>
      </c>
      <c r="F676" s="1420" t="str">
        <f>IF('R6a - Net Debt input'!G457 = "","",'R6a - Net Debt input'!G457)</f>
        <v/>
      </c>
      <c r="G676" s="1420" t="str">
        <f>IF('R6a - Net Debt input'!H457 = "","",'R6a - Net Debt input'!H457)</f>
        <v/>
      </c>
      <c r="H676" s="1420" t="str">
        <f>IF('R6a - Net Debt input'!I457 = "","",'R6a - Net Debt input'!I457)</f>
        <v/>
      </c>
      <c r="I676" s="1421" t="str">
        <f>IF('R6a - Net Debt input'!J457 = "","",'R6a - Net Debt input'!J457)</f>
        <v/>
      </c>
      <c r="M676" s="496">
        <v>0</v>
      </c>
      <c r="N676" s="496">
        <v>0</v>
      </c>
      <c r="O676" s="496">
        <v>0</v>
      </c>
      <c r="P676" s="496">
        <v>0</v>
      </c>
      <c r="Q676" s="496">
        <v>0</v>
      </c>
      <c r="R676" s="496">
        <v>0</v>
      </c>
      <c r="S676" s="496">
        <v>0</v>
      </c>
      <c r="T676" s="496">
        <v>0</v>
      </c>
      <c r="U676" s="496">
        <v>0</v>
      </c>
      <c r="V676" s="496">
        <v>0</v>
      </c>
    </row>
    <row r="677" spans="2:22" outlineLevel="1">
      <c r="B677" s="326" t="s">
        <v>757</v>
      </c>
      <c r="C677" s="1403" t="s">
        <v>649</v>
      </c>
      <c r="D677" s="1404"/>
      <c r="E677" s="1404"/>
      <c r="F677" s="1404"/>
      <c r="G677" s="1404"/>
      <c r="H677" s="1404"/>
      <c r="I677" s="1405"/>
      <c r="M677" s="496">
        <v>0</v>
      </c>
      <c r="N677" s="496">
        <v>0</v>
      </c>
      <c r="O677" s="496">
        <v>0</v>
      </c>
      <c r="P677" s="496">
        <v>0</v>
      </c>
      <c r="Q677" s="496">
        <v>0</v>
      </c>
      <c r="R677" s="496">
        <v>0</v>
      </c>
      <c r="S677" s="496">
        <v>0</v>
      </c>
      <c r="T677" s="496">
        <v>0</v>
      </c>
      <c r="U677" s="496">
        <v>0</v>
      </c>
      <c r="V677" s="496">
        <v>0</v>
      </c>
    </row>
    <row r="678" spans="2:22">
      <c r="B678" s="169"/>
      <c r="E678" s="169"/>
      <c r="F678" s="169"/>
      <c r="G678" s="169"/>
      <c r="H678" s="169"/>
      <c r="L678" s="985" t="s">
        <v>758</v>
      </c>
      <c r="M678" s="474">
        <f t="shared" ref="M678:V678" si="46">SUM(M673:M677)</f>
        <v>0</v>
      </c>
      <c r="N678" s="475">
        <f t="shared" si="46"/>
        <v>0</v>
      </c>
      <c r="O678" s="475">
        <f t="shared" si="46"/>
        <v>0</v>
      </c>
      <c r="P678" s="475">
        <f t="shared" si="46"/>
        <v>0</v>
      </c>
      <c r="Q678" s="475">
        <f t="shared" si="46"/>
        <v>0</v>
      </c>
      <c r="R678" s="475">
        <f t="shared" si="46"/>
        <v>0</v>
      </c>
      <c r="S678" s="475">
        <f t="shared" si="46"/>
        <v>0</v>
      </c>
      <c r="T678" s="476">
        <f t="shared" si="46"/>
        <v>0</v>
      </c>
      <c r="U678" s="477">
        <f t="shared" si="46"/>
        <v>0</v>
      </c>
      <c r="V678" s="475">
        <f t="shared" si="46"/>
        <v>0</v>
      </c>
    </row>
    <row r="679" spans="2:22">
      <c r="B679" s="169"/>
      <c r="E679" s="169"/>
      <c r="F679" s="169"/>
      <c r="G679" s="169"/>
      <c r="H679" s="169"/>
      <c r="U679" s="283"/>
    </row>
    <row r="680" spans="2:22" ht="14">
      <c r="B680" s="254" t="s">
        <v>759</v>
      </c>
      <c r="C680" s="255" t="s">
        <v>760</v>
      </c>
      <c r="D680" s="255"/>
      <c r="E680" s="255"/>
      <c r="F680" s="255"/>
      <c r="G680" s="256"/>
      <c r="H680" s="256"/>
      <c r="I680" s="256"/>
      <c r="J680" s="256"/>
      <c r="K680" s="256"/>
      <c r="L680" s="254"/>
      <c r="M680" s="255"/>
      <c r="N680" s="255"/>
      <c r="O680" s="255"/>
      <c r="P680" s="255"/>
      <c r="Q680" s="255"/>
      <c r="R680" s="255"/>
      <c r="S680" s="255"/>
      <c r="T680" s="255"/>
      <c r="U680" s="288"/>
      <c r="V680" s="255"/>
    </row>
    <row r="682" spans="2:22" ht="17.5" outlineLevel="1">
      <c r="B682" s="153"/>
      <c r="C682" s="150"/>
      <c r="D682" s="265" t="s">
        <v>467</v>
      </c>
      <c r="E682" s="267"/>
      <c r="F682" s="267"/>
      <c r="G682" s="266"/>
      <c r="H682" s="266"/>
      <c r="I682" s="266"/>
      <c r="J682" s="266"/>
      <c r="K682" s="266"/>
      <c r="L682" s="304"/>
      <c r="M682" s="267"/>
      <c r="N682" s="267"/>
      <c r="O682" s="267"/>
      <c r="P682" s="267"/>
      <c r="Q682" s="267"/>
      <c r="R682" s="267"/>
      <c r="S682" s="267"/>
      <c r="T682" s="267"/>
      <c r="U682" s="290"/>
      <c r="V682" s="267"/>
    </row>
    <row r="684" spans="2:22" ht="25.5" customHeight="1" outlineLevel="1">
      <c r="B684" s="781"/>
      <c r="C684" s="777" t="s">
        <v>599</v>
      </c>
      <c r="D684" s="777" t="s">
        <v>600</v>
      </c>
      <c r="E684" s="1391" t="s">
        <v>601</v>
      </c>
      <c r="F684" s="1392"/>
      <c r="G684" s="1392"/>
      <c r="H684" s="1392"/>
      <c r="I684" s="1393"/>
      <c r="U684" s="283"/>
    </row>
    <row r="685" spans="2:22" ht="12.75" customHeight="1" outlineLevel="1">
      <c r="B685" s="343" t="s">
        <v>468</v>
      </c>
      <c r="C685" s="337" t="s">
        <v>602</v>
      </c>
      <c r="D685" s="337" t="s">
        <v>602</v>
      </c>
      <c r="E685" s="1394"/>
      <c r="F685" s="1395"/>
      <c r="G685" s="1395"/>
      <c r="H685" s="1395"/>
      <c r="I685" s="1396"/>
      <c r="M685" s="196" t="s">
        <v>469</v>
      </c>
      <c r="N685" s="197" t="s">
        <v>469</v>
      </c>
      <c r="O685" s="197" t="s">
        <v>469</v>
      </c>
      <c r="P685" s="197" t="s">
        <v>469</v>
      </c>
      <c r="Q685" s="197" t="s">
        <v>469</v>
      </c>
      <c r="R685" s="197" t="s">
        <v>469</v>
      </c>
      <c r="S685" s="197" t="s">
        <v>469</v>
      </c>
      <c r="T685" s="278" t="s">
        <v>469</v>
      </c>
      <c r="U685" s="296" t="s">
        <v>469</v>
      </c>
      <c r="V685" s="197" t="s">
        <v>469</v>
      </c>
    </row>
    <row r="686" spans="2:22" outlineLevel="1">
      <c r="B686" s="345" t="s">
        <v>761</v>
      </c>
      <c r="C686" s="554" t="str">
        <f>IF('R6a - Net Debt input'!D472 = "","",'R6a - Net Debt input'!D472)</f>
        <v/>
      </c>
      <c r="D686" s="554" t="str">
        <f>IF('R6a - Net Debt input'!E472 = "","",'R6a - Net Debt input'!E472)</f>
        <v/>
      </c>
      <c r="E686" s="726" t="str">
        <f>IF('R6a - Net Debt input'!F472 = "","",'R6a - Net Debt input'!F472)</f>
        <v/>
      </c>
      <c r="F686" s="727"/>
      <c r="G686" s="727"/>
      <c r="H686" s="727"/>
      <c r="I686" s="728"/>
      <c r="M686" s="496">
        <v>0</v>
      </c>
      <c r="N686" s="496">
        <v>0</v>
      </c>
      <c r="O686" s="496">
        <v>0</v>
      </c>
      <c r="P686" s="496">
        <v>0</v>
      </c>
      <c r="Q686" s="496">
        <v>0</v>
      </c>
      <c r="R686" s="496">
        <v>0</v>
      </c>
      <c r="S686" s="496">
        <v>0</v>
      </c>
      <c r="T686" s="496">
        <v>0</v>
      </c>
      <c r="U686" s="496">
        <v>0</v>
      </c>
      <c r="V686" s="496">
        <v>0</v>
      </c>
    </row>
    <row r="687" spans="2:22" outlineLevel="1">
      <c r="B687" s="324" t="s">
        <v>762</v>
      </c>
      <c r="C687" s="554" t="str">
        <f>IF('R6a - Net Debt input'!D473 = "","",'R6a - Net Debt input'!D473)</f>
        <v/>
      </c>
      <c r="D687" s="554" t="str">
        <f>IF('R6a - Net Debt input'!E473 = "","",'R6a - Net Debt input'!E473)</f>
        <v/>
      </c>
      <c r="E687" s="726" t="str">
        <f>IF('R6a - Net Debt input'!F473 = "","",'R6a - Net Debt input'!F473)</f>
        <v/>
      </c>
      <c r="F687" s="727"/>
      <c r="G687" s="727"/>
      <c r="H687" s="727"/>
      <c r="I687" s="728"/>
      <c r="M687" s="496">
        <v>0</v>
      </c>
      <c r="N687" s="496">
        <v>0</v>
      </c>
      <c r="O687" s="496">
        <v>0</v>
      </c>
      <c r="P687" s="496">
        <v>0</v>
      </c>
      <c r="Q687" s="496">
        <v>0</v>
      </c>
      <c r="R687" s="496">
        <v>0</v>
      </c>
      <c r="S687" s="496">
        <v>0</v>
      </c>
      <c r="T687" s="496">
        <v>0</v>
      </c>
      <c r="U687" s="496">
        <v>0</v>
      </c>
      <c r="V687" s="496">
        <v>0</v>
      </c>
    </row>
    <row r="688" spans="2:22" outlineLevel="1">
      <c r="B688" s="324" t="s">
        <v>763</v>
      </c>
      <c r="C688" s="554" t="str">
        <f>IF('R6a - Net Debt input'!D474 = "","",'R6a - Net Debt input'!D474)</f>
        <v/>
      </c>
      <c r="D688" s="554" t="str">
        <f>IF('R6a - Net Debt input'!E474 = "","",'R6a - Net Debt input'!E474)</f>
        <v/>
      </c>
      <c r="E688" s="726" t="str">
        <f>IF('R6a - Net Debt input'!F474 = "","",'R6a - Net Debt input'!F474)</f>
        <v/>
      </c>
      <c r="F688" s="727"/>
      <c r="G688" s="727"/>
      <c r="H688" s="727"/>
      <c r="I688" s="728"/>
      <c r="M688" s="496">
        <v>0</v>
      </c>
      <c r="N688" s="496">
        <v>0</v>
      </c>
      <c r="O688" s="496">
        <v>0</v>
      </c>
      <c r="P688" s="496">
        <v>0</v>
      </c>
      <c r="Q688" s="496">
        <v>0</v>
      </c>
      <c r="R688" s="496">
        <v>0</v>
      </c>
      <c r="S688" s="496">
        <v>0</v>
      </c>
      <c r="T688" s="496">
        <v>0</v>
      </c>
      <c r="U688" s="496">
        <v>0</v>
      </c>
      <c r="V688" s="496">
        <v>0</v>
      </c>
    </row>
    <row r="689" spans="2:22" outlineLevel="1">
      <c r="B689" s="324" t="s">
        <v>764</v>
      </c>
      <c r="C689" s="554" t="str">
        <f>IF('R6a - Net Debt input'!D475 = "","",'R6a - Net Debt input'!D475)</f>
        <v/>
      </c>
      <c r="D689" s="554" t="str">
        <f>IF('R6a - Net Debt input'!E475 = "","",'R6a - Net Debt input'!E475)</f>
        <v/>
      </c>
      <c r="E689" s="726" t="str">
        <f>IF('R6a - Net Debt input'!F475 = "","",'R6a - Net Debt input'!F475)</f>
        <v/>
      </c>
      <c r="F689" s="727"/>
      <c r="G689" s="727"/>
      <c r="H689" s="727"/>
      <c r="I689" s="728"/>
      <c r="M689" s="496">
        <v>0</v>
      </c>
      <c r="N689" s="496">
        <v>0</v>
      </c>
      <c r="O689" s="496">
        <v>0</v>
      </c>
      <c r="P689" s="496">
        <v>0</v>
      </c>
      <c r="Q689" s="496">
        <v>0</v>
      </c>
      <c r="R689" s="496">
        <v>0</v>
      </c>
      <c r="S689" s="496">
        <v>0</v>
      </c>
      <c r="T689" s="496">
        <v>0</v>
      </c>
      <c r="U689" s="496">
        <v>0</v>
      </c>
      <c r="V689" s="496">
        <v>0</v>
      </c>
    </row>
    <row r="690" spans="2:22" outlineLevel="1">
      <c r="B690" s="326" t="s">
        <v>765</v>
      </c>
      <c r="C690" s="556" t="s">
        <v>649</v>
      </c>
      <c r="D690" s="557"/>
      <c r="E690" s="558"/>
      <c r="F690" s="558"/>
      <c r="G690" s="558"/>
      <c r="H690" s="558"/>
      <c r="I690" s="559"/>
      <c r="M690" s="496">
        <v>0</v>
      </c>
      <c r="N690" s="496">
        <v>0</v>
      </c>
      <c r="O690" s="496">
        <v>0</v>
      </c>
      <c r="P690" s="496">
        <v>0</v>
      </c>
      <c r="Q690" s="496">
        <v>0</v>
      </c>
      <c r="R690" s="496">
        <v>0</v>
      </c>
      <c r="S690" s="496">
        <v>0</v>
      </c>
      <c r="T690" s="496">
        <v>0</v>
      </c>
      <c r="U690" s="496">
        <v>0</v>
      </c>
      <c r="V690" s="496">
        <v>0</v>
      </c>
    </row>
    <row r="691" spans="2:22">
      <c r="B691" s="169"/>
      <c r="E691" s="169"/>
      <c r="F691" s="169"/>
      <c r="G691" s="169"/>
      <c r="H691" s="169"/>
      <c r="L691" s="985" t="s">
        <v>766</v>
      </c>
      <c r="M691" s="474">
        <f t="shared" ref="M691:V691" si="47">SUM(M686:M690)</f>
        <v>0</v>
      </c>
      <c r="N691" s="475">
        <f t="shared" si="47"/>
        <v>0</v>
      </c>
      <c r="O691" s="475">
        <f t="shared" si="47"/>
        <v>0</v>
      </c>
      <c r="P691" s="475">
        <f t="shared" si="47"/>
        <v>0</v>
      </c>
      <c r="Q691" s="475">
        <f t="shared" si="47"/>
        <v>0</v>
      </c>
      <c r="R691" s="475">
        <f t="shared" si="47"/>
        <v>0</v>
      </c>
      <c r="S691" s="475">
        <f t="shared" si="47"/>
        <v>0</v>
      </c>
      <c r="T691" s="476">
        <f t="shared" si="47"/>
        <v>0</v>
      </c>
      <c r="U691" s="477">
        <f t="shared" si="47"/>
        <v>0</v>
      </c>
      <c r="V691" s="475">
        <f t="shared" si="47"/>
        <v>0</v>
      </c>
    </row>
    <row r="692" spans="2:22">
      <c r="B692" s="169"/>
    </row>
    <row r="693" spans="2:22" ht="17.5" outlineLevel="1">
      <c r="C693" s="150"/>
      <c r="D693" s="265" t="s">
        <v>533</v>
      </c>
      <c r="E693" s="266"/>
      <c r="F693" s="266"/>
      <c r="G693" s="266"/>
      <c r="H693" s="266"/>
      <c r="I693" s="266"/>
      <c r="J693" s="266"/>
      <c r="K693" s="266"/>
      <c r="L693" s="304"/>
      <c r="M693" s="266"/>
      <c r="N693" s="266"/>
      <c r="O693" s="266"/>
      <c r="P693" s="266"/>
      <c r="Q693" s="266"/>
      <c r="R693" s="266"/>
      <c r="S693" s="266"/>
      <c r="T693" s="266"/>
      <c r="U693" s="284"/>
      <c r="V693" s="266"/>
    </row>
    <row r="694" spans="2:22">
      <c r="B694" s="312"/>
      <c r="C694" s="150"/>
      <c r="D694" s="150"/>
      <c r="U694" s="283"/>
    </row>
    <row r="695" spans="2:22" ht="25.5" customHeight="1" outlineLevel="1">
      <c r="B695" s="781"/>
      <c r="C695" s="777" t="s">
        <v>599</v>
      </c>
      <c r="D695" s="777" t="s">
        <v>600</v>
      </c>
      <c r="E695" s="1391" t="s">
        <v>601</v>
      </c>
      <c r="F695" s="1392"/>
      <c r="G695" s="1392"/>
      <c r="H695" s="1392"/>
      <c r="I695" s="1393"/>
      <c r="U695" s="283"/>
    </row>
    <row r="696" spans="2:22" ht="12.75" customHeight="1" outlineLevel="1">
      <c r="B696" s="343" t="s">
        <v>468</v>
      </c>
      <c r="C696" s="337" t="s">
        <v>602</v>
      </c>
      <c r="D696" s="337" t="s">
        <v>602</v>
      </c>
      <c r="E696" s="1394"/>
      <c r="F696" s="1395"/>
      <c r="G696" s="1395"/>
      <c r="H696" s="1395"/>
      <c r="I696" s="1396"/>
      <c r="M696" s="196" t="s">
        <v>469</v>
      </c>
      <c r="N696" s="197" t="s">
        <v>469</v>
      </c>
      <c r="O696" s="197" t="s">
        <v>469</v>
      </c>
      <c r="P696" s="197" t="s">
        <v>469</v>
      </c>
      <c r="Q696" s="197" t="s">
        <v>469</v>
      </c>
      <c r="R696" s="197" t="s">
        <v>469</v>
      </c>
      <c r="S696" s="197" t="s">
        <v>469</v>
      </c>
      <c r="T696" s="278" t="s">
        <v>469</v>
      </c>
      <c r="U696" s="296" t="s">
        <v>469</v>
      </c>
      <c r="V696" s="197" t="s">
        <v>469</v>
      </c>
    </row>
    <row r="697" spans="2:22" outlineLevel="1">
      <c r="B697" s="345" t="s">
        <v>761</v>
      </c>
      <c r="C697" s="554" t="str">
        <f>IF('R6a - Net Debt input'!D472 = "","",'R6a - Net Debt input'!D472)</f>
        <v/>
      </c>
      <c r="D697" s="554" t="str">
        <f>IF('R6a - Net Debt input'!E472 = "","",'R6a - Net Debt input'!E472)</f>
        <v/>
      </c>
      <c r="E697" s="1400" t="str">
        <f>IF('R6a - Net Debt input'!F472 = "","",'R6a - Net Debt input'!F472)</f>
        <v/>
      </c>
      <c r="F697" s="1401" t="str">
        <f>IF('R6a - Net Debt input'!G472 = "","",'R6a - Net Debt input'!G472)</f>
        <v/>
      </c>
      <c r="G697" s="1401" t="str">
        <f>IF('R6a - Net Debt input'!H472 = "","",'R6a - Net Debt input'!H472)</f>
        <v/>
      </c>
      <c r="H697" s="1401" t="str">
        <f>IF('R6a - Net Debt input'!I472 = "","",'R6a - Net Debt input'!I472)</f>
        <v/>
      </c>
      <c r="I697" s="1402" t="str">
        <f>IF('R6a - Net Debt input'!J472 = "","",'R6a - Net Debt input'!J472)</f>
        <v/>
      </c>
      <c r="M697" s="496">
        <v>0</v>
      </c>
      <c r="N697" s="496">
        <v>0</v>
      </c>
      <c r="O697" s="496">
        <v>0</v>
      </c>
      <c r="P697" s="496">
        <v>0</v>
      </c>
      <c r="Q697" s="496">
        <v>0</v>
      </c>
      <c r="R697" s="496">
        <v>0</v>
      </c>
      <c r="S697" s="496">
        <v>0</v>
      </c>
      <c r="T697" s="496">
        <v>0</v>
      </c>
      <c r="U697" s="496">
        <v>0</v>
      </c>
      <c r="V697" s="496">
        <v>0</v>
      </c>
    </row>
    <row r="698" spans="2:22" outlineLevel="1">
      <c r="B698" s="324" t="s">
        <v>762</v>
      </c>
      <c r="C698" s="554" t="str">
        <f>IF('R6a - Net Debt input'!D473 = "","",'R6a - Net Debt input'!D473)</f>
        <v/>
      </c>
      <c r="D698" s="554" t="str">
        <f>IF('R6a - Net Debt input'!E473 = "","",'R6a - Net Debt input'!E473)</f>
        <v/>
      </c>
      <c r="E698" s="1417" t="str">
        <f>IF('R6a - Net Debt input'!F473 = "","",'R6a - Net Debt input'!F473)</f>
        <v/>
      </c>
      <c r="F698" s="1420" t="str">
        <f>IF('R6a - Net Debt input'!G473 = "","",'R6a - Net Debt input'!G473)</f>
        <v/>
      </c>
      <c r="G698" s="1420" t="str">
        <f>IF('R6a - Net Debt input'!H473 = "","",'R6a - Net Debt input'!H473)</f>
        <v/>
      </c>
      <c r="H698" s="1420" t="str">
        <f>IF('R6a - Net Debt input'!I473 = "","",'R6a - Net Debt input'!I473)</f>
        <v/>
      </c>
      <c r="I698" s="1421" t="str">
        <f>IF('R6a - Net Debt input'!J473 = "","",'R6a - Net Debt input'!J473)</f>
        <v/>
      </c>
      <c r="M698" s="496">
        <v>0</v>
      </c>
      <c r="N698" s="496">
        <v>0</v>
      </c>
      <c r="O698" s="496">
        <v>0</v>
      </c>
      <c r="P698" s="496">
        <v>0</v>
      </c>
      <c r="Q698" s="496">
        <v>0</v>
      </c>
      <c r="R698" s="496">
        <v>0</v>
      </c>
      <c r="S698" s="496">
        <v>0</v>
      </c>
      <c r="T698" s="496">
        <v>0</v>
      </c>
      <c r="U698" s="496">
        <v>0</v>
      </c>
      <c r="V698" s="496">
        <v>0</v>
      </c>
    </row>
    <row r="699" spans="2:22" outlineLevel="1">
      <c r="B699" s="324" t="s">
        <v>763</v>
      </c>
      <c r="C699" s="554" t="str">
        <f>IF('R6a - Net Debt input'!D474 = "","",'R6a - Net Debt input'!D474)</f>
        <v/>
      </c>
      <c r="D699" s="554" t="str">
        <f>IF('R6a - Net Debt input'!E474 = "","",'R6a - Net Debt input'!E474)</f>
        <v/>
      </c>
      <c r="E699" s="1417" t="str">
        <f>IF('R6a - Net Debt input'!F474 = "","",'R6a - Net Debt input'!F474)</f>
        <v/>
      </c>
      <c r="F699" s="1420" t="str">
        <f>IF('R6a - Net Debt input'!G474 = "","",'R6a - Net Debt input'!G474)</f>
        <v/>
      </c>
      <c r="G699" s="1420" t="str">
        <f>IF('R6a - Net Debt input'!H474 = "","",'R6a - Net Debt input'!H474)</f>
        <v/>
      </c>
      <c r="H699" s="1420" t="str">
        <f>IF('R6a - Net Debt input'!I474 = "","",'R6a - Net Debt input'!I474)</f>
        <v/>
      </c>
      <c r="I699" s="1421" t="str">
        <f>IF('R6a - Net Debt input'!J474 = "","",'R6a - Net Debt input'!J474)</f>
        <v/>
      </c>
      <c r="M699" s="496">
        <v>0</v>
      </c>
      <c r="N699" s="496">
        <v>0</v>
      </c>
      <c r="O699" s="496">
        <v>0</v>
      </c>
      <c r="P699" s="496">
        <v>0</v>
      </c>
      <c r="Q699" s="496">
        <v>0</v>
      </c>
      <c r="R699" s="496">
        <v>0</v>
      </c>
      <c r="S699" s="496">
        <v>0</v>
      </c>
      <c r="T699" s="496">
        <v>0</v>
      </c>
      <c r="U699" s="496">
        <v>0</v>
      </c>
      <c r="V699" s="496">
        <v>0</v>
      </c>
    </row>
    <row r="700" spans="2:22" outlineLevel="1">
      <c r="B700" s="324" t="s">
        <v>764</v>
      </c>
      <c r="C700" s="554" t="str">
        <f>IF('R6a - Net Debt input'!D475 = "","",'R6a - Net Debt input'!D475)</f>
        <v/>
      </c>
      <c r="D700" s="554" t="str">
        <f>IF('R6a - Net Debt input'!E475 = "","",'R6a - Net Debt input'!E475)</f>
        <v/>
      </c>
      <c r="E700" s="1417" t="str">
        <f>IF('R6a - Net Debt input'!F475 = "","",'R6a - Net Debt input'!F475)</f>
        <v/>
      </c>
      <c r="F700" s="1420" t="str">
        <f>IF('R6a - Net Debt input'!G475 = "","",'R6a - Net Debt input'!G475)</f>
        <v/>
      </c>
      <c r="G700" s="1420" t="str">
        <f>IF('R6a - Net Debt input'!H475 = "","",'R6a - Net Debt input'!H475)</f>
        <v/>
      </c>
      <c r="H700" s="1420" t="str">
        <f>IF('R6a - Net Debt input'!I475 = "","",'R6a - Net Debt input'!I475)</f>
        <v/>
      </c>
      <c r="I700" s="1421" t="str">
        <f>IF('R6a - Net Debt input'!J475 = "","",'R6a - Net Debt input'!J475)</f>
        <v/>
      </c>
      <c r="M700" s="496">
        <v>0</v>
      </c>
      <c r="N700" s="496">
        <v>0</v>
      </c>
      <c r="O700" s="496">
        <v>0</v>
      </c>
      <c r="P700" s="496">
        <v>0</v>
      </c>
      <c r="Q700" s="496">
        <v>0</v>
      </c>
      <c r="R700" s="496">
        <v>0</v>
      </c>
      <c r="S700" s="496">
        <v>0</v>
      </c>
      <c r="T700" s="496">
        <v>0</v>
      </c>
      <c r="U700" s="496">
        <v>0</v>
      </c>
      <c r="V700" s="496">
        <v>0</v>
      </c>
    </row>
    <row r="701" spans="2:22" outlineLevel="1">
      <c r="B701" s="326" t="s">
        <v>765</v>
      </c>
      <c r="C701" s="556" t="s">
        <v>649</v>
      </c>
      <c r="D701" s="557"/>
      <c r="E701" s="558"/>
      <c r="F701" s="558"/>
      <c r="G701" s="558"/>
      <c r="H701" s="558"/>
      <c r="I701" s="559"/>
      <c r="M701" s="496">
        <v>0</v>
      </c>
      <c r="N701" s="496">
        <v>0</v>
      </c>
      <c r="O701" s="496">
        <v>0</v>
      </c>
      <c r="P701" s="496">
        <v>0</v>
      </c>
      <c r="Q701" s="496">
        <v>0</v>
      </c>
      <c r="R701" s="496">
        <v>0</v>
      </c>
      <c r="S701" s="496">
        <v>0</v>
      </c>
      <c r="T701" s="496">
        <v>0</v>
      </c>
      <c r="U701" s="496">
        <v>0</v>
      </c>
      <c r="V701" s="496">
        <v>0</v>
      </c>
    </row>
    <row r="702" spans="2:22">
      <c r="B702" s="169"/>
      <c r="E702" s="169"/>
      <c r="F702" s="169"/>
      <c r="G702" s="169"/>
      <c r="H702" s="169"/>
      <c r="L702" s="985" t="s">
        <v>766</v>
      </c>
      <c r="M702" s="474">
        <f t="shared" ref="M702:V702" si="48">SUM(M697:M701)</f>
        <v>0</v>
      </c>
      <c r="N702" s="475">
        <f t="shared" si="48"/>
        <v>0</v>
      </c>
      <c r="O702" s="475">
        <f t="shared" si="48"/>
        <v>0</v>
      </c>
      <c r="P702" s="475">
        <f t="shared" si="48"/>
        <v>0</v>
      </c>
      <c r="Q702" s="475">
        <f t="shared" si="48"/>
        <v>0</v>
      </c>
      <c r="R702" s="475">
        <f t="shared" si="48"/>
        <v>0</v>
      </c>
      <c r="S702" s="475">
        <f t="shared" si="48"/>
        <v>0</v>
      </c>
      <c r="T702" s="476">
        <f t="shared" si="48"/>
        <v>0</v>
      </c>
      <c r="U702" s="477">
        <f t="shared" si="48"/>
        <v>0</v>
      </c>
      <c r="V702" s="475">
        <f t="shared" si="48"/>
        <v>0</v>
      </c>
    </row>
    <row r="703" spans="2:22">
      <c r="B703" s="169"/>
      <c r="U703" s="283"/>
    </row>
    <row r="704" spans="2:22" ht="14">
      <c r="B704" s="254" t="s">
        <v>767</v>
      </c>
      <c r="C704" s="255" t="s">
        <v>768</v>
      </c>
      <c r="D704" s="255"/>
      <c r="E704" s="255"/>
      <c r="F704" s="255"/>
      <c r="G704" s="256"/>
      <c r="H704" s="256"/>
      <c r="I704" s="256"/>
      <c r="J704" s="256"/>
      <c r="K704" s="256"/>
      <c r="L704" s="254"/>
      <c r="M704" s="255"/>
      <c r="N704" s="255"/>
      <c r="O704" s="255"/>
      <c r="P704" s="255"/>
      <c r="Q704" s="255"/>
      <c r="R704" s="255"/>
      <c r="S704" s="255"/>
      <c r="T704" s="255"/>
      <c r="U704" s="288"/>
      <c r="V704" s="255"/>
    </row>
    <row r="706" spans="2:22" ht="17.5" outlineLevel="1">
      <c r="B706" s="153"/>
      <c r="C706" s="150"/>
      <c r="D706" s="265" t="s">
        <v>467</v>
      </c>
      <c r="E706" s="267"/>
      <c r="F706" s="267"/>
      <c r="G706" s="266"/>
      <c r="H706" s="266"/>
      <c r="I706" s="266"/>
      <c r="J706" s="266"/>
      <c r="K706" s="266"/>
      <c r="L706" s="304"/>
      <c r="M706" s="267"/>
      <c r="N706" s="267"/>
      <c r="O706" s="267"/>
      <c r="P706" s="267"/>
      <c r="Q706" s="267"/>
      <c r="R706" s="267"/>
      <c r="S706" s="267"/>
      <c r="T706" s="267"/>
      <c r="U706" s="290"/>
      <c r="V706" s="267"/>
    </row>
    <row r="708" spans="2:22" outlineLevel="1">
      <c r="B708" s="325" t="s">
        <v>468</v>
      </c>
      <c r="C708" s="552" t="s">
        <v>575</v>
      </c>
      <c r="D708" s="731"/>
      <c r="E708" s="731"/>
      <c r="F708" s="731"/>
      <c r="G708" s="731"/>
      <c r="H708" s="731"/>
      <c r="I708" s="732"/>
      <c r="M708" s="196" t="s">
        <v>469</v>
      </c>
      <c r="N708" s="197" t="s">
        <v>469</v>
      </c>
      <c r="O708" s="197" t="s">
        <v>469</v>
      </c>
      <c r="P708" s="197" t="s">
        <v>469</v>
      </c>
      <c r="Q708" s="197" t="s">
        <v>469</v>
      </c>
      <c r="R708" s="197" t="s">
        <v>469</v>
      </c>
      <c r="S708" s="197" t="s">
        <v>469</v>
      </c>
      <c r="T708" s="278" t="s">
        <v>469</v>
      </c>
      <c r="U708" s="296" t="s">
        <v>469</v>
      </c>
      <c r="V708" s="197" t="s">
        <v>469</v>
      </c>
    </row>
    <row r="709" spans="2:22" outlineLevel="1">
      <c r="B709" s="324" t="s">
        <v>769</v>
      </c>
      <c r="C709" s="1417" t="str">
        <f>IF('R6a - Net Debt input'!D488 = "","",'R6a - Net Debt input'!D488)</f>
        <v>Net Cross Currency Swaps</v>
      </c>
      <c r="D709" s="1418"/>
      <c r="E709" s="1418"/>
      <c r="F709" s="1418"/>
      <c r="G709" s="1418"/>
      <c r="H709" s="1418"/>
      <c r="I709" s="1419"/>
      <c r="M709" s="496">
        <v>0</v>
      </c>
      <c r="N709" s="496">
        <v>0</v>
      </c>
      <c r="O709" s="496">
        <v>0</v>
      </c>
      <c r="P709" s="496">
        <v>0</v>
      </c>
      <c r="Q709" s="496">
        <v>0</v>
      </c>
      <c r="R709" s="496">
        <v>0</v>
      </c>
      <c r="S709" s="496">
        <v>0</v>
      </c>
      <c r="T709" s="496">
        <v>0</v>
      </c>
      <c r="U709" s="496">
        <v>0</v>
      </c>
      <c r="V709" s="496">
        <v>0</v>
      </c>
    </row>
    <row r="710" spans="2:22" outlineLevel="1">
      <c r="B710" s="324" t="s">
        <v>770</v>
      </c>
      <c r="C710" s="1417" t="str">
        <f>IF('R6a - Net Debt input'!D489 = "","",'R6a - Net Debt input'!D489)</f>
        <v>Net Interest and Inflation Rate Swaps</v>
      </c>
      <c r="D710" s="1418"/>
      <c r="E710" s="1418"/>
      <c r="F710" s="1418"/>
      <c r="G710" s="1418"/>
      <c r="H710" s="1418"/>
      <c r="I710" s="1419"/>
      <c r="M710" s="496">
        <v>0</v>
      </c>
      <c r="N710" s="496">
        <v>0</v>
      </c>
      <c r="O710" s="496">
        <v>0</v>
      </c>
      <c r="P710" s="496">
        <v>0</v>
      </c>
      <c r="Q710" s="496">
        <v>0</v>
      </c>
      <c r="R710" s="496">
        <v>0</v>
      </c>
      <c r="S710" s="496">
        <v>0</v>
      </c>
      <c r="T710" s="496">
        <v>0</v>
      </c>
      <c r="U710" s="496">
        <v>0</v>
      </c>
      <c r="V710" s="496">
        <v>0</v>
      </c>
    </row>
    <row r="711" spans="2:22" outlineLevel="1">
      <c r="B711" s="324" t="s">
        <v>771</v>
      </c>
      <c r="C711" s="1417" t="str">
        <f>IF('R6a - Net Debt input'!D490 = "","",'R6a - Net Debt input'!D490)</f>
        <v>Bank Fees</v>
      </c>
      <c r="D711" s="1418"/>
      <c r="E711" s="1418"/>
      <c r="F711" s="1418"/>
      <c r="G711" s="1418"/>
      <c r="H711" s="1418"/>
      <c r="I711" s="1419"/>
      <c r="M711" s="496">
        <v>0.1</v>
      </c>
      <c r="N711" s="496">
        <v>0.1</v>
      </c>
      <c r="O711" s="496">
        <v>0.1</v>
      </c>
      <c r="P711" s="496">
        <v>0.1</v>
      </c>
      <c r="Q711" s="496">
        <v>0.1</v>
      </c>
      <c r="R711" s="496">
        <v>0.1</v>
      </c>
      <c r="S711" s="496">
        <v>0.1</v>
      </c>
      <c r="T711" s="496">
        <v>0.1</v>
      </c>
      <c r="U711" s="496">
        <v>0.1</v>
      </c>
      <c r="V711" s="496">
        <v>0.1</v>
      </c>
    </row>
    <row r="712" spans="2:22" outlineLevel="1">
      <c r="B712" s="324" t="s">
        <v>772</v>
      </c>
      <c r="C712" s="1417" t="str">
        <f>IF('R6a - Net Debt input'!D491 = "","",'R6a - Net Debt input'!D491)</f>
        <v>Collateral</v>
      </c>
      <c r="D712" s="1418"/>
      <c r="E712" s="1418"/>
      <c r="F712" s="1418"/>
      <c r="G712" s="1418"/>
      <c r="H712" s="1418"/>
      <c r="I712" s="1419"/>
      <c r="M712" s="496">
        <v>0.3</v>
      </c>
      <c r="N712" s="496">
        <v>0</v>
      </c>
      <c r="O712" s="496">
        <v>0</v>
      </c>
      <c r="P712" s="496">
        <v>0</v>
      </c>
      <c r="Q712" s="496">
        <v>0</v>
      </c>
      <c r="R712" s="496">
        <v>0</v>
      </c>
      <c r="S712" s="496">
        <v>0</v>
      </c>
      <c r="T712" s="496">
        <v>0</v>
      </c>
      <c r="U712" s="496">
        <v>0</v>
      </c>
      <c r="V712" s="496">
        <v>0</v>
      </c>
    </row>
    <row r="713" spans="2:22" outlineLevel="1">
      <c r="B713" s="324" t="s">
        <v>773</v>
      </c>
      <c r="C713" s="1417" t="str">
        <f>IF('R6a - Net Debt input'!D492 = "","",'R6a - Net Debt input'!D492)</f>
        <v>Transition Adjustment</v>
      </c>
      <c r="D713" s="1418"/>
      <c r="E713" s="1418"/>
      <c r="F713" s="1418"/>
      <c r="G713" s="1418"/>
      <c r="H713" s="1418"/>
      <c r="I713" s="1419"/>
      <c r="M713" s="496">
        <v>0</v>
      </c>
      <c r="N713" s="496">
        <v>0</v>
      </c>
      <c r="O713" s="496">
        <v>0</v>
      </c>
      <c r="P713" s="496">
        <v>0</v>
      </c>
      <c r="Q713" s="496">
        <v>0</v>
      </c>
      <c r="R713" s="496">
        <v>0</v>
      </c>
      <c r="S713" s="496">
        <v>0</v>
      </c>
      <c r="T713" s="496">
        <v>0</v>
      </c>
      <c r="U713" s="496">
        <v>0</v>
      </c>
      <c r="V713" s="496">
        <v>0</v>
      </c>
    </row>
    <row r="714" spans="2:22" outlineLevel="1">
      <c r="B714" s="324" t="s">
        <v>774</v>
      </c>
      <c r="C714" s="1417" t="str">
        <f>IF('R6a - Net Debt input'!D493 = "","",'R6a - Net Debt input'!D493)</f>
        <v>Facility Fees</v>
      </c>
      <c r="D714" s="1418"/>
      <c r="E714" s="1418"/>
      <c r="F714" s="1418"/>
      <c r="G714" s="1418"/>
      <c r="H714" s="1418"/>
      <c r="I714" s="1419"/>
      <c r="M714" s="496">
        <v>0.9</v>
      </c>
      <c r="N714" s="496">
        <v>0.9</v>
      </c>
      <c r="O714" s="496">
        <v>0.9</v>
      </c>
      <c r="P714" s="496">
        <v>0.9</v>
      </c>
      <c r="Q714" s="496">
        <v>0.9</v>
      </c>
      <c r="R714" s="496">
        <v>0.9</v>
      </c>
      <c r="S714" s="496">
        <v>0.9</v>
      </c>
      <c r="T714" s="496">
        <v>0.9</v>
      </c>
      <c r="U714" s="496">
        <v>0.9</v>
      </c>
      <c r="V714" s="496">
        <v>0.9</v>
      </c>
    </row>
    <row r="715" spans="2:22" outlineLevel="1">
      <c r="B715" s="324" t="s">
        <v>775</v>
      </c>
      <c r="C715" s="1417" t="str">
        <f>IF('R6a - Net Debt input'!D494 = "","",'R6a - Net Debt input'!D494)</f>
        <v>Cash and Investments</v>
      </c>
      <c r="D715" s="1418"/>
      <c r="E715" s="1418"/>
      <c r="F715" s="1418"/>
      <c r="G715" s="1418"/>
      <c r="H715" s="1418"/>
      <c r="I715" s="1419"/>
      <c r="M715" s="496">
        <v>0</v>
      </c>
      <c r="N715" s="496">
        <v>0</v>
      </c>
      <c r="O715" s="496">
        <v>0</v>
      </c>
      <c r="P715" s="496">
        <v>0</v>
      </c>
      <c r="Q715" s="496">
        <v>0</v>
      </c>
      <c r="R715" s="496">
        <v>0</v>
      </c>
      <c r="S715" s="496">
        <v>0</v>
      </c>
      <c r="T715" s="496">
        <v>0</v>
      </c>
      <c r="U715" s="496">
        <v>0</v>
      </c>
      <c r="V715" s="496">
        <v>0</v>
      </c>
    </row>
    <row r="716" spans="2:22" outlineLevel="1">
      <c r="B716" s="324" t="s">
        <v>776</v>
      </c>
      <c r="C716" s="1417" t="str">
        <f>IF('R6a - Net Debt input'!D495 = "","",'R6a - Net Debt input'!D495)</f>
        <v>Tax Income</v>
      </c>
      <c r="D716" s="1418"/>
      <c r="E716" s="1418"/>
      <c r="F716" s="1418"/>
      <c r="G716" s="1418"/>
      <c r="H716" s="1418"/>
      <c r="I716" s="1419"/>
      <c r="M716" s="496">
        <v>0</v>
      </c>
      <c r="N716" s="496">
        <v>0</v>
      </c>
      <c r="O716" s="496">
        <v>0</v>
      </c>
      <c r="P716" s="496">
        <v>0</v>
      </c>
      <c r="Q716" s="496">
        <v>0</v>
      </c>
      <c r="R716" s="496">
        <v>0</v>
      </c>
      <c r="S716" s="496">
        <v>0</v>
      </c>
      <c r="T716" s="496">
        <v>0</v>
      </c>
      <c r="U716" s="496">
        <v>0</v>
      </c>
      <c r="V716" s="496">
        <v>0</v>
      </c>
    </row>
    <row r="717" spans="2:22" outlineLevel="1">
      <c r="B717" s="324" t="s">
        <v>777</v>
      </c>
      <c r="C717" s="1417" t="str">
        <f>IF('R6a - Net Debt input'!D496 = "","",'R6a - Net Debt input'!D496)</f>
        <v>CP</v>
      </c>
      <c r="D717" s="1418"/>
      <c r="E717" s="1418"/>
      <c r="F717" s="1418"/>
      <c r="G717" s="1418"/>
      <c r="H717" s="1418"/>
      <c r="I717" s="1419"/>
      <c r="M717" s="496">
        <v>0</v>
      </c>
      <c r="N717" s="496">
        <v>0</v>
      </c>
      <c r="O717" s="496">
        <v>0</v>
      </c>
      <c r="P717" s="496">
        <v>0</v>
      </c>
      <c r="Q717" s="496">
        <v>0</v>
      </c>
      <c r="R717" s="496">
        <v>0</v>
      </c>
      <c r="S717" s="496">
        <v>0</v>
      </c>
      <c r="T717" s="496">
        <v>0</v>
      </c>
      <c r="U717" s="496">
        <v>0</v>
      </c>
      <c r="V717" s="496">
        <v>0</v>
      </c>
    </row>
    <row r="718" spans="2:22" outlineLevel="1">
      <c r="B718" s="324" t="s">
        <v>778</v>
      </c>
      <c r="C718" s="1417" t="str">
        <f>IF('R6a - Net Debt input'!D497 = "","",'R6a - Net Debt input'!D497)</f>
        <v>Commerical Business</v>
      </c>
      <c r="D718" s="1418"/>
      <c r="E718" s="1418"/>
      <c r="F718" s="1418"/>
      <c r="G718" s="1418"/>
      <c r="H718" s="1418"/>
      <c r="I718" s="1419"/>
      <c r="M718" s="496">
        <v>0</v>
      </c>
      <c r="N718" s="496">
        <v>0</v>
      </c>
      <c r="O718" s="496">
        <v>0</v>
      </c>
      <c r="P718" s="496">
        <v>0</v>
      </c>
      <c r="Q718" s="496">
        <v>0</v>
      </c>
      <c r="R718" s="496">
        <v>0</v>
      </c>
      <c r="S718" s="496">
        <v>0</v>
      </c>
      <c r="T718" s="496">
        <v>0</v>
      </c>
      <c r="U718" s="496">
        <v>0</v>
      </c>
      <c r="V718" s="496">
        <v>0</v>
      </c>
    </row>
    <row r="719" spans="2:22" outlineLevel="1">
      <c r="B719" s="324" t="s">
        <v>779</v>
      </c>
      <c r="C719" s="1417" t="str">
        <f>IF('R6a - Net Debt input'!D498 = "","",'R6a - Net Debt input'!D498)</f>
        <v>Swap Termination Fee Amortisation</v>
      </c>
      <c r="D719" s="1418"/>
      <c r="E719" s="1418"/>
      <c r="F719" s="1418"/>
      <c r="G719" s="1418"/>
      <c r="H719" s="1418"/>
      <c r="I719" s="1419"/>
      <c r="M719" s="496">
        <v>-0.3</v>
      </c>
      <c r="N719" s="496">
        <v>-0.30887201341549225</v>
      </c>
      <c r="O719" s="496">
        <v>-0.30887201341549225</v>
      </c>
      <c r="P719" s="496">
        <v>0.24670861892622559</v>
      </c>
      <c r="Q719" s="496">
        <v>3.1927797593110929</v>
      </c>
      <c r="R719" s="496">
        <v>3.1927797593110929</v>
      </c>
      <c r="S719" s="496">
        <v>2.7665528818905187</v>
      </c>
      <c r="T719" s="496">
        <v>1.975804206735321</v>
      </c>
      <c r="U719" s="496">
        <v>2.4378318316185483</v>
      </c>
      <c r="V719" s="496">
        <v>2.6466599920463318</v>
      </c>
    </row>
    <row r="720" spans="2:22" outlineLevel="1">
      <c r="B720" s="324" t="s">
        <v>780</v>
      </c>
      <c r="C720" s="1417" t="str">
        <f>IF('R6a - Net Debt input'!D499 = "","",'R6a - Net Debt input'!D499)</f>
        <v>Rounding</v>
      </c>
      <c r="D720" s="1418"/>
      <c r="E720" s="1418"/>
      <c r="F720" s="1418"/>
      <c r="G720" s="1418"/>
      <c r="H720" s="1418"/>
      <c r="I720" s="1419"/>
      <c r="M720" s="496">
        <v>0.3</v>
      </c>
      <c r="N720" s="496">
        <v>0</v>
      </c>
      <c r="O720" s="496">
        <v>0</v>
      </c>
      <c r="P720" s="496">
        <v>0</v>
      </c>
      <c r="Q720" s="496">
        <v>0</v>
      </c>
      <c r="R720" s="496">
        <v>0</v>
      </c>
      <c r="S720" s="496">
        <v>0</v>
      </c>
      <c r="T720" s="496">
        <v>0</v>
      </c>
      <c r="U720" s="496">
        <v>0</v>
      </c>
      <c r="V720" s="496">
        <v>0</v>
      </c>
    </row>
    <row r="721" spans="2:22" outlineLevel="1">
      <c r="B721" s="324" t="s">
        <v>781</v>
      </c>
      <c r="C721" s="1417" t="str">
        <f>IF('R6a - Net Debt input'!D500 = "","",'R6a - Net Debt input'!D500)</f>
        <v>Collateral income</v>
      </c>
      <c r="D721" s="1418"/>
      <c r="E721" s="1418"/>
      <c r="F721" s="1418"/>
      <c r="G721" s="1418"/>
      <c r="H721" s="1418"/>
      <c r="I721" s="1419"/>
      <c r="M721" s="496">
        <v>0</v>
      </c>
      <c r="N721" s="496">
        <v>0</v>
      </c>
      <c r="O721" s="496">
        <v>0</v>
      </c>
      <c r="P721" s="496">
        <v>0</v>
      </c>
      <c r="Q721" s="496">
        <v>0</v>
      </c>
      <c r="R721" s="496">
        <v>0</v>
      </c>
      <c r="S721" s="496">
        <v>0</v>
      </c>
      <c r="T721" s="496">
        <v>0</v>
      </c>
      <c r="U721" s="496">
        <v>0</v>
      </c>
      <c r="V721" s="496">
        <v>0</v>
      </c>
    </row>
    <row r="722" spans="2:22" outlineLevel="1">
      <c r="B722" s="324" t="s">
        <v>782</v>
      </c>
      <c r="C722" s="1417" t="str">
        <f>IF('R6a - Net Debt input'!D501 = "","",'R6a - Net Debt input'!D501)</f>
        <v/>
      </c>
      <c r="D722" s="1418"/>
      <c r="E722" s="1418"/>
      <c r="F722" s="1418"/>
      <c r="G722" s="1418"/>
      <c r="H722" s="1418"/>
      <c r="I722" s="1419"/>
      <c r="M722" s="496">
        <v>0</v>
      </c>
      <c r="N722" s="496">
        <v>0</v>
      </c>
      <c r="O722" s="496">
        <v>0</v>
      </c>
      <c r="P722" s="496">
        <v>0</v>
      </c>
      <c r="Q722" s="496">
        <v>0</v>
      </c>
      <c r="R722" s="496">
        <v>0</v>
      </c>
      <c r="S722" s="496">
        <v>0</v>
      </c>
      <c r="T722" s="496">
        <v>0</v>
      </c>
      <c r="U722" s="496">
        <v>0</v>
      </c>
      <c r="V722" s="496">
        <v>0</v>
      </c>
    </row>
    <row r="723" spans="2:22" outlineLevel="1">
      <c r="B723" s="324" t="s">
        <v>783</v>
      </c>
      <c r="C723" s="1417" t="str">
        <f>IF('R6a - Net Debt input'!D502 = "","",'R6a - Net Debt input'!D502)</f>
        <v/>
      </c>
      <c r="D723" s="1418"/>
      <c r="E723" s="1418"/>
      <c r="F723" s="1418"/>
      <c r="G723" s="1418"/>
      <c r="H723" s="1418"/>
      <c r="I723" s="1419"/>
      <c r="M723" s="496">
        <v>0</v>
      </c>
      <c r="N723" s="496">
        <v>0</v>
      </c>
      <c r="O723" s="496">
        <v>0</v>
      </c>
      <c r="P723" s="496">
        <v>0</v>
      </c>
      <c r="Q723" s="496">
        <v>0</v>
      </c>
      <c r="R723" s="496">
        <v>0</v>
      </c>
      <c r="S723" s="496">
        <v>0</v>
      </c>
      <c r="T723" s="496">
        <v>0</v>
      </c>
      <c r="U723" s="496">
        <v>0</v>
      </c>
      <c r="V723" s="496">
        <v>0</v>
      </c>
    </row>
    <row r="724" spans="2:22" outlineLevel="1">
      <c r="B724" s="324" t="s">
        <v>784</v>
      </c>
      <c r="C724" s="1417" t="str">
        <f>IF('R6a - Net Debt input'!C503 = "","",'R6a - Net Debt input'!C503)</f>
        <v xml:space="preserve">{ Insert new rows here as necessary } </v>
      </c>
      <c r="D724" s="1418"/>
      <c r="E724" s="1418"/>
      <c r="F724" s="1418"/>
      <c r="G724" s="1418"/>
      <c r="H724" s="1418"/>
      <c r="I724" s="1419"/>
      <c r="M724" s="496">
        <v>0</v>
      </c>
      <c r="N724" s="496">
        <v>0</v>
      </c>
      <c r="O724" s="496">
        <v>0</v>
      </c>
      <c r="P724" s="496">
        <v>0</v>
      </c>
      <c r="Q724" s="496">
        <v>0</v>
      </c>
      <c r="R724" s="496">
        <v>0</v>
      </c>
      <c r="S724" s="496">
        <v>0</v>
      </c>
      <c r="T724" s="496">
        <v>0</v>
      </c>
      <c r="U724" s="496">
        <v>0</v>
      </c>
      <c r="V724" s="496">
        <v>0</v>
      </c>
    </row>
    <row r="725" spans="2:22">
      <c r="B725" s="169"/>
      <c r="E725" s="169"/>
      <c r="F725" s="169"/>
      <c r="G725" s="169"/>
      <c r="H725" s="169"/>
      <c r="L725" s="985" t="s">
        <v>785</v>
      </c>
      <c r="M725" s="474">
        <f t="shared" ref="M725:V725" si="49">SUM(M709:M724)</f>
        <v>1.3</v>
      </c>
      <c r="N725" s="475">
        <f t="shared" si="49"/>
        <v>0.69112798658450769</v>
      </c>
      <c r="O725" s="475">
        <f t="shared" si="49"/>
        <v>0.69112798658450769</v>
      </c>
      <c r="P725" s="475">
        <f t="shared" si="49"/>
        <v>1.2467086189262255</v>
      </c>
      <c r="Q725" s="475">
        <f t="shared" si="49"/>
        <v>4.1927797593110929</v>
      </c>
      <c r="R725" s="475">
        <f t="shared" si="49"/>
        <v>4.1927797593110929</v>
      </c>
      <c r="S725" s="475">
        <f t="shared" si="49"/>
        <v>3.7665528818905187</v>
      </c>
      <c r="T725" s="476">
        <f t="shared" si="49"/>
        <v>2.975804206735321</v>
      </c>
      <c r="U725" s="477">
        <f t="shared" si="49"/>
        <v>3.4378318316185483</v>
      </c>
      <c r="V725" s="475">
        <f t="shared" si="49"/>
        <v>3.6466599920463318</v>
      </c>
    </row>
    <row r="728" spans="2:22" ht="17.5" outlineLevel="1">
      <c r="C728" s="150"/>
      <c r="D728" s="265" t="s">
        <v>533</v>
      </c>
      <c r="E728" s="266"/>
      <c r="F728" s="266"/>
      <c r="G728" s="266"/>
      <c r="H728" s="266"/>
      <c r="I728" s="266"/>
      <c r="J728" s="266"/>
      <c r="K728" s="266"/>
      <c r="L728" s="304"/>
      <c r="M728" s="266"/>
      <c r="N728" s="266"/>
      <c r="O728" s="266"/>
      <c r="P728" s="266"/>
      <c r="Q728" s="266"/>
      <c r="R728" s="266"/>
      <c r="S728" s="266"/>
      <c r="T728" s="266"/>
      <c r="U728" s="284"/>
      <c r="V728" s="266"/>
    </row>
    <row r="730" spans="2:22" outlineLevel="1">
      <c r="B730" s="325" t="s">
        <v>468</v>
      </c>
      <c r="C730" s="552" t="s">
        <v>575</v>
      </c>
      <c r="D730" s="731"/>
      <c r="E730" s="731"/>
      <c r="F730" s="731"/>
      <c r="G730" s="731"/>
      <c r="H730" s="731"/>
      <c r="I730" s="732"/>
      <c r="M730" s="196" t="s">
        <v>469</v>
      </c>
      <c r="N730" s="197" t="s">
        <v>469</v>
      </c>
      <c r="O730" s="197" t="s">
        <v>469</v>
      </c>
      <c r="P730" s="197" t="s">
        <v>469</v>
      </c>
      <c r="Q730" s="197" t="s">
        <v>469</v>
      </c>
      <c r="R730" s="197" t="s">
        <v>469</v>
      </c>
      <c r="S730" s="197" t="s">
        <v>469</v>
      </c>
      <c r="T730" s="278" t="s">
        <v>469</v>
      </c>
      <c r="U730" s="296" t="s">
        <v>469</v>
      </c>
      <c r="V730" s="197" t="s">
        <v>469</v>
      </c>
    </row>
    <row r="731" spans="2:22" outlineLevel="1">
      <c r="B731" s="324" t="s">
        <v>769</v>
      </c>
      <c r="C731" s="1417" t="str">
        <f>IF('R6a - Net Debt input'!D488 = "","",'R6a - Net Debt input'!D488)</f>
        <v>Net Cross Currency Swaps</v>
      </c>
      <c r="D731" s="1418" t="str">
        <f>IF('R6a - Net Debt input'!E481 = "","",'R6a - Net Debt input'!E481)</f>
        <v/>
      </c>
      <c r="E731" s="1418"/>
      <c r="F731" s="1418" t="str">
        <f>IF('R6a - Net Debt input'!G481 = "","",'R6a - Net Debt input'!G481)</f>
        <v/>
      </c>
      <c r="G731" s="1418" t="str">
        <f>IF('R6a - Net Debt input'!H481 = "","",'R6a - Net Debt input'!H481)</f>
        <v/>
      </c>
      <c r="H731" s="1418" t="str">
        <f>IF('R6a - Net Debt input'!I481 = "","",'R6a - Net Debt input'!I481)</f>
        <v/>
      </c>
      <c r="I731" s="1419" t="str">
        <f>IF('R6a - Net Debt input'!J481 = "","",'R6a - Net Debt input'!J481)</f>
        <v/>
      </c>
      <c r="M731" s="496">
        <v>0</v>
      </c>
      <c r="N731" s="496">
        <v>0</v>
      </c>
      <c r="O731" s="496">
        <v>0</v>
      </c>
      <c r="P731" s="496">
        <v>0</v>
      </c>
      <c r="Q731" s="496">
        <v>0</v>
      </c>
      <c r="R731" s="496">
        <v>0</v>
      </c>
      <c r="S731" s="496">
        <v>0</v>
      </c>
      <c r="T731" s="496">
        <v>0</v>
      </c>
      <c r="U731" s="496">
        <v>0</v>
      </c>
      <c r="V731" s="496">
        <v>0</v>
      </c>
    </row>
    <row r="732" spans="2:22" outlineLevel="1">
      <c r="B732" s="324" t="s">
        <v>770</v>
      </c>
      <c r="C732" s="1417" t="str">
        <f>IF('R6a - Net Debt input'!D489 = "","",'R6a - Net Debt input'!D489)</f>
        <v>Net Interest and Inflation Rate Swaps</v>
      </c>
      <c r="D732" s="1418" t="str">
        <f>IF('R6a - Net Debt input'!E482 = "","",'R6a - Net Debt input'!E482)</f>
        <v/>
      </c>
      <c r="E732" s="1418"/>
      <c r="F732" s="1418" t="str">
        <f>IF('R6a - Net Debt input'!G482 = "","",'R6a - Net Debt input'!G482)</f>
        <v/>
      </c>
      <c r="G732" s="1418" t="str">
        <f>IF('R6a - Net Debt input'!H482 = "","",'R6a - Net Debt input'!H482)</f>
        <v/>
      </c>
      <c r="H732" s="1418" t="str">
        <f>IF('R6a - Net Debt input'!I482 = "","",'R6a - Net Debt input'!I482)</f>
        <v/>
      </c>
      <c r="I732" s="1419" t="str">
        <f>IF('R6a - Net Debt input'!J482 = "","",'R6a - Net Debt input'!J482)</f>
        <v/>
      </c>
      <c r="M732" s="496">
        <v>0</v>
      </c>
      <c r="N732" s="496">
        <v>0</v>
      </c>
      <c r="O732" s="496">
        <v>0</v>
      </c>
      <c r="P732" s="496">
        <v>0</v>
      </c>
      <c r="Q732" s="496">
        <v>0</v>
      </c>
      <c r="R732" s="496">
        <v>0</v>
      </c>
      <c r="S732" s="496">
        <v>0</v>
      </c>
      <c r="T732" s="496">
        <v>0</v>
      </c>
      <c r="U732" s="496">
        <v>0</v>
      </c>
      <c r="V732" s="496">
        <v>0</v>
      </c>
    </row>
    <row r="733" spans="2:22" outlineLevel="1">
      <c r="B733" s="324" t="s">
        <v>771</v>
      </c>
      <c r="C733" s="1417" t="str">
        <f>IF('R6a - Net Debt input'!D490 = "","",'R6a - Net Debt input'!D490)</f>
        <v>Bank Fees</v>
      </c>
      <c r="D733" s="1418" t="str">
        <f>IF('R6a - Net Debt input'!E483 = "","",'R6a - Net Debt input'!E483)</f>
        <v/>
      </c>
      <c r="E733" s="1418"/>
      <c r="F733" s="1418" t="str">
        <f>IF('R6a - Net Debt input'!G483 = "","",'R6a - Net Debt input'!G483)</f>
        <v/>
      </c>
      <c r="G733" s="1418" t="str">
        <f>IF('R6a - Net Debt input'!H483 = "","",'R6a - Net Debt input'!H483)</f>
        <v/>
      </c>
      <c r="H733" s="1418" t="str">
        <f>IF('R6a - Net Debt input'!I483 = "","",'R6a - Net Debt input'!I483)</f>
        <v/>
      </c>
      <c r="I733" s="1419" t="str">
        <f>IF('R6a - Net Debt input'!J483 = "","",'R6a - Net Debt input'!J483)</f>
        <v/>
      </c>
      <c r="M733" s="496">
        <v>0.1</v>
      </c>
      <c r="N733" s="496">
        <v>0.1</v>
      </c>
      <c r="O733" s="496">
        <v>0.1</v>
      </c>
      <c r="P733" s="496">
        <v>0.1</v>
      </c>
      <c r="Q733" s="496">
        <v>0.1</v>
      </c>
      <c r="R733" s="496">
        <v>0.1</v>
      </c>
      <c r="S733" s="496">
        <v>0.1</v>
      </c>
      <c r="T733" s="496">
        <v>0.1</v>
      </c>
      <c r="U733" s="496">
        <v>0.1</v>
      </c>
      <c r="V733" s="496">
        <v>0.1</v>
      </c>
    </row>
    <row r="734" spans="2:22" outlineLevel="1">
      <c r="B734" s="324" t="s">
        <v>772</v>
      </c>
      <c r="C734" s="1417" t="str">
        <f>IF('R6a - Net Debt input'!D491 = "","",'R6a - Net Debt input'!D491)</f>
        <v>Collateral</v>
      </c>
      <c r="D734" s="1418" t="str">
        <f>IF('R6a - Net Debt input'!E484 = "","",'R6a - Net Debt input'!E484)</f>
        <v/>
      </c>
      <c r="E734" s="1418"/>
      <c r="F734" s="1418" t="str">
        <f>IF('R6a - Net Debt input'!G484 = "","",'R6a - Net Debt input'!G484)</f>
        <v/>
      </c>
      <c r="G734" s="1418" t="str">
        <f>IF('R6a - Net Debt input'!H484 = "","",'R6a - Net Debt input'!H484)</f>
        <v/>
      </c>
      <c r="H734" s="1418" t="str">
        <f>IF('R6a - Net Debt input'!I484 = "","",'R6a - Net Debt input'!I484)</f>
        <v/>
      </c>
      <c r="I734" s="1419" t="str">
        <f>IF('R6a - Net Debt input'!J484 = "","",'R6a - Net Debt input'!J484)</f>
        <v/>
      </c>
      <c r="M734" s="496">
        <v>0.3</v>
      </c>
      <c r="N734" s="496">
        <v>0</v>
      </c>
      <c r="O734" s="496">
        <v>0</v>
      </c>
      <c r="P734" s="496">
        <v>0</v>
      </c>
      <c r="Q734" s="496">
        <v>0</v>
      </c>
      <c r="R734" s="496">
        <v>0</v>
      </c>
      <c r="S734" s="496">
        <v>0</v>
      </c>
      <c r="T734" s="496">
        <v>0</v>
      </c>
      <c r="U734" s="496">
        <v>0</v>
      </c>
      <c r="V734" s="496">
        <v>0</v>
      </c>
    </row>
    <row r="735" spans="2:22" outlineLevel="1">
      <c r="B735" s="324" t="s">
        <v>773</v>
      </c>
      <c r="C735" s="1417" t="str">
        <f>IF('R6a - Net Debt input'!D492 = "","",'R6a - Net Debt input'!D492)</f>
        <v>Transition Adjustment</v>
      </c>
      <c r="D735" s="1418" t="str">
        <f>IF('R6a - Net Debt input'!E485 = "","",'R6a - Net Debt input'!E485)</f>
        <v/>
      </c>
      <c r="E735" s="1418"/>
      <c r="F735" s="1418" t="str">
        <f>IF('R6a - Net Debt input'!G485 = "","",'R6a - Net Debt input'!G485)</f>
        <v/>
      </c>
      <c r="G735" s="1418" t="str">
        <f>IF('R6a - Net Debt input'!H485 = "","",'R6a - Net Debt input'!H485)</f>
        <v/>
      </c>
      <c r="H735" s="1418" t="str">
        <f>IF('R6a - Net Debt input'!I485 = "","",'R6a - Net Debt input'!I485)</f>
        <v/>
      </c>
      <c r="I735" s="1419" t="str">
        <f>IF('R6a - Net Debt input'!J485 = "","",'R6a - Net Debt input'!J485)</f>
        <v/>
      </c>
      <c r="M735" s="496">
        <v>0</v>
      </c>
      <c r="N735" s="496">
        <v>0</v>
      </c>
      <c r="O735" s="496">
        <v>0</v>
      </c>
      <c r="P735" s="496">
        <v>0</v>
      </c>
      <c r="Q735" s="496">
        <v>0</v>
      </c>
      <c r="R735" s="496">
        <v>0</v>
      </c>
      <c r="S735" s="496">
        <v>0</v>
      </c>
      <c r="T735" s="496">
        <v>0</v>
      </c>
      <c r="U735" s="496">
        <v>0</v>
      </c>
      <c r="V735" s="496">
        <v>0</v>
      </c>
    </row>
    <row r="736" spans="2:22" outlineLevel="1">
      <c r="B736" s="324" t="s">
        <v>774</v>
      </c>
      <c r="C736" s="1417" t="str">
        <f>IF('R6a - Net Debt input'!D493 = "","",'R6a - Net Debt input'!D493)</f>
        <v>Facility Fees</v>
      </c>
      <c r="D736" s="1418" t="str">
        <f>IF('R6a - Net Debt input'!E486 = "","",'R6a - Net Debt input'!E486)</f>
        <v/>
      </c>
      <c r="E736" s="1418"/>
      <c r="F736" s="1418" t="str">
        <f>IF('R6a - Net Debt input'!G486 = "","",'R6a - Net Debt input'!G486)</f>
        <v/>
      </c>
      <c r="G736" s="1418" t="str">
        <f>IF('R6a - Net Debt input'!H486 = "","",'R6a - Net Debt input'!H486)</f>
        <v/>
      </c>
      <c r="H736" s="1418" t="str">
        <f>IF('R6a - Net Debt input'!I486 = "","",'R6a - Net Debt input'!I486)</f>
        <v/>
      </c>
      <c r="I736" s="1419" t="str">
        <f>IF('R6a - Net Debt input'!J486 = "","",'R6a - Net Debt input'!J486)</f>
        <v/>
      </c>
      <c r="M736" s="496">
        <v>0.9</v>
      </c>
      <c r="N736" s="496">
        <v>0.9</v>
      </c>
      <c r="O736" s="496">
        <v>0.9</v>
      </c>
      <c r="P736" s="496">
        <v>0.9</v>
      </c>
      <c r="Q736" s="496">
        <v>0.9</v>
      </c>
      <c r="R736" s="496">
        <v>0.9</v>
      </c>
      <c r="S736" s="496">
        <v>0.9</v>
      </c>
      <c r="T736" s="496">
        <v>0.9</v>
      </c>
      <c r="U736" s="496">
        <v>0.9</v>
      </c>
      <c r="V736" s="496">
        <v>0.9</v>
      </c>
    </row>
    <row r="737" spans="2:23" outlineLevel="1">
      <c r="B737" s="324" t="s">
        <v>775</v>
      </c>
      <c r="C737" s="1417" t="str">
        <f>IF('R6a - Net Debt input'!D494 = "","",'R6a - Net Debt input'!D494)</f>
        <v>Cash and Investments</v>
      </c>
      <c r="D737" s="1418" t="str">
        <f>IF('R6a - Net Debt input'!E487 = "","",'R6a - Net Debt input'!E487)</f>
        <v/>
      </c>
      <c r="E737" s="1418"/>
      <c r="F737" s="1418" t="str">
        <f>IF('R6a - Net Debt input'!G487 = "","",'R6a - Net Debt input'!G487)</f>
        <v/>
      </c>
      <c r="G737" s="1418" t="str">
        <f>IF('R6a - Net Debt input'!H487 = "","",'R6a - Net Debt input'!H487)</f>
        <v/>
      </c>
      <c r="H737" s="1418" t="str">
        <f>IF('R6a - Net Debt input'!I487 = "","",'R6a - Net Debt input'!I487)</f>
        <v/>
      </c>
      <c r="I737" s="1419" t="str">
        <f>IF('R6a - Net Debt input'!J487 = "","",'R6a - Net Debt input'!J487)</f>
        <v/>
      </c>
      <c r="M737" s="496">
        <v>0</v>
      </c>
      <c r="N737" s="496">
        <v>0</v>
      </c>
      <c r="O737" s="496">
        <v>0</v>
      </c>
      <c r="P737" s="496">
        <v>0</v>
      </c>
      <c r="Q737" s="496">
        <v>0</v>
      </c>
      <c r="R737" s="496">
        <v>0</v>
      </c>
      <c r="S737" s="496">
        <v>0</v>
      </c>
      <c r="T737" s="496">
        <v>0</v>
      </c>
      <c r="U737" s="496">
        <v>0</v>
      </c>
      <c r="V737" s="496">
        <v>0</v>
      </c>
    </row>
    <row r="738" spans="2:23" outlineLevel="1">
      <c r="B738" s="324" t="s">
        <v>776</v>
      </c>
      <c r="C738" s="1417" t="str">
        <f>IF('R6a - Net Debt input'!D495 = "","",'R6a - Net Debt input'!D495)</f>
        <v>Tax Income</v>
      </c>
      <c r="D738" s="1418" t="str">
        <f>IF('R6a - Net Debt input'!E488 = "","",'R6a - Net Debt input'!E488)</f>
        <v/>
      </c>
      <c r="E738" s="1418"/>
      <c r="F738" s="1418" t="str">
        <f>IF('R6a - Net Debt input'!G488 = "","",'R6a - Net Debt input'!G488)</f>
        <v/>
      </c>
      <c r="G738" s="1418" t="str">
        <f>IF('R6a - Net Debt input'!H488 = "","",'R6a - Net Debt input'!H488)</f>
        <v/>
      </c>
      <c r="H738" s="1418" t="str">
        <f>IF('R6a - Net Debt input'!I488 = "","",'R6a - Net Debt input'!I488)</f>
        <v/>
      </c>
      <c r="I738" s="1419" t="str">
        <f>IF('R6a - Net Debt input'!J488 = "","",'R6a - Net Debt input'!J488)</f>
        <v/>
      </c>
      <c r="M738" s="496">
        <v>0</v>
      </c>
      <c r="N738" s="496">
        <v>0</v>
      </c>
      <c r="O738" s="496">
        <v>0</v>
      </c>
      <c r="P738" s="496">
        <v>0</v>
      </c>
      <c r="Q738" s="496">
        <v>0</v>
      </c>
      <c r="R738" s="496">
        <v>0</v>
      </c>
      <c r="S738" s="496">
        <v>0</v>
      </c>
      <c r="T738" s="496">
        <v>0</v>
      </c>
      <c r="U738" s="496">
        <v>0</v>
      </c>
      <c r="V738" s="496">
        <v>0</v>
      </c>
    </row>
    <row r="739" spans="2:23" outlineLevel="1">
      <c r="B739" s="324" t="s">
        <v>777</v>
      </c>
      <c r="C739" s="1417" t="str">
        <f>IF('R6a - Net Debt input'!D496 = "","",'R6a - Net Debt input'!D496)</f>
        <v>CP</v>
      </c>
      <c r="D739" s="1418" t="str">
        <f>IF('R6a - Net Debt input'!E489 = "","",'R6a - Net Debt input'!E489)</f>
        <v/>
      </c>
      <c r="E739" s="1418"/>
      <c r="F739" s="1418" t="str">
        <f>IF('R6a - Net Debt input'!G489 = "","",'R6a - Net Debt input'!G489)</f>
        <v/>
      </c>
      <c r="G739" s="1418" t="str">
        <f>IF('R6a - Net Debt input'!H489 = "","",'R6a - Net Debt input'!H489)</f>
        <v/>
      </c>
      <c r="H739" s="1418" t="str">
        <f>IF('R6a - Net Debt input'!I489 = "","",'R6a - Net Debt input'!I489)</f>
        <v/>
      </c>
      <c r="I739" s="1419" t="str">
        <f>IF('R6a - Net Debt input'!J489 = "","",'R6a - Net Debt input'!J489)</f>
        <v/>
      </c>
      <c r="M739" s="496">
        <v>0</v>
      </c>
      <c r="N739" s="496">
        <v>0</v>
      </c>
      <c r="O739" s="496">
        <v>0</v>
      </c>
      <c r="P739" s="496">
        <v>0</v>
      </c>
      <c r="Q739" s="496">
        <v>0</v>
      </c>
      <c r="R739" s="496">
        <v>0</v>
      </c>
      <c r="S739" s="496">
        <v>0</v>
      </c>
      <c r="T739" s="496">
        <v>0</v>
      </c>
      <c r="U739" s="496">
        <v>0</v>
      </c>
      <c r="V739" s="496">
        <v>0</v>
      </c>
    </row>
    <row r="740" spans="2:23" outlineLevel="1">
      <c r="B740" s="324" t="s">
        <v>778</v>
      </c>
      <c r="C740" s="1417" t="str">
        <f>IF('R6a - Net Debt input'!D497 = "","",'R6a - Net Debt input'!D497)</f>
        <v>Commerical Business</v>
      </c>
      <c r="D740" s="1418" t="str">
        <f>IF('R6a - Net Debt input'!E490 = "","",'R6a - Net Debt input'!E490)</f>
        <v/>
      </c>
      <c r="E740" s="1418"/>
      <c r="F740" s="1418" t="str">
        <f>IF('R6a - Net Debt input'!G490 = "","",'R6a - Net Debt input'!G490)</f>
        <v/>
      </c>
      <c r="G740" s="1418" t="str">
        <f>IF('R6a - Net Debt input'!H490 = "","",'R6a - Net Debt input'!H490)</f>
        <v/>
      </c>
      <c r="H740" s="1418" t="str">
        <f>IF('R6a - Net Debt input'!I490 = "","",'R6a - Net Debt input'!I490)</f>
        <v/>
      </c>
      <c r="I740" s="1419" t="str">
        <f>IF('R6a - Net Debt input'!J490 = "","",'R6a - Net Debt input'!J490)</f>
        <v/>
      </c>
      <c r="M740" s="496">
        <v>0</v>
      </c>
      <c r="N740" s="496">
        <v>0</v>
      </c>
      <c r="O740" s="496">
        <v>0</v>
      </c>
      <c r="P740" s="496">
        <v>0</v>
      </c>
      <c r="Q740" s="496">
        <v>0</v>
      </c>
      <c r="R740" s="496">
        <v>0</v>
      </c>
      <c r="S740" s="496">
        <v>0</v>
      </c>
      <c r="T740" s="496">
        <v>0</v>
      </c>
      <c r="U740" s="496">
        <v>0</v>
      </c>
      <c r="V740" s="496">
        <v>0</v>
      </c>
    </row>
    <row r="741" spans="2:23" outlineLevel="1">
      <c r="B741" s="324" t="s">
        <v>779</v>
      </c>
      <c r="C741" s="1417" t="str">
        <f>IF('R6a - Net Debt input'!D498 = "","",'R6a - Net Debt input'!D498)</f>
        <v>Swap Termination Fee Amortisation</v>
      </c>
      <c r="D741" s="1418" t="str">
        <f>IF('R6a - Net Debt input'!E491 = "","",'R6a - Net Debt input'!E491)</f>
        <v/>
      </c>
      <c r="E741" s="1418"/>
      <c r="F741" s="1418" t="str">
        <f>IF('R6a - Net Debt input'!G491 = "","",'R6a - Net Debt input'!G491)</f>
        <v/>
      </c>
      <c r="G741" s="1418" t="str">
        <f>IF('R6a - Net Debt input'!H491 = "","",'R6a - Net Debt input'!H491)</f>
        <v/>
      </c>
      <c r="H741" s="1418" t="str">
        <f>IF('R6a - Net Debt input'!I491 = "","",'R6a - Net Debt input'!I491)</f>
        <v/>
      </c>
      <c r="I741" s="1419" t="str">
        <f>IF('R6a - Net Debt input'!J491 = "","",'R6a - Net Debt input'!J491)</f>
        <v/>
      </c>
      <c r="M741" s="496">
        <v>0</v>
      </c>
      <c r="N741" s="496">
        <v>0</v>
      </c>
      <c r="O741" s="496">
        <v>0</v>
      </c>
      <c r="P741" s="496">
        <v>0</v>
      </c>
      <c r="Q741" s="496">
        <v>0</v>
      </c>
      <c r="R741" s="496">
        <v>0</v>
      </c>
      <c r="S741" s="496">
        <v>0</v>
      </c>
      <c r="T741" s="496">
        <v>0</v>
      </c>
      <c r="U741" s="496">
        <v>0</v>
      </c>
      <c r="V741" s="496">
        <v>0</v>
      </c>
    </row>
    <row r="742" spans="2:23" outlineLevel="1">
      <c r="B742" s="324" t="s">
        <v>780</v>
      </c>
      <c r="C742" s="1417" t="str">
        <f>IF('R6a - Net Debt input'!D499 = "","",'R6a - Net Debt input'!D499)</f>
        <v>Rounding</v>
      </c>
      <c r="D742" s="1418" t="str">
        <f>IF('R6a - Net Debt input'!E492 = "","",'R6a - Net Debt input'!E492)</f>
        <v/>
      </c>
      <c r="E742" s="1418"/>
      <c r="F742" s="1418" t="str">
        <f>IF('R6a - Net Debt input'!G492 = "","",'R6a - Net Debt input'!G492)</f>
        <v/>
      </c>
      <c r="G742" s="1418" t="str">
        <f>IF('R6a - Net Debt input'!H492 = "","",'R6a - Net Debt input'!H492)</f>
        <v/>
      </c>
      <c r="H742" s="1418" t="str">
        <f>IF('R6a - Net Debt input'!I492 = "","",'R6a - Net Debt input'!I492)</f>
        <v/>
      </c>
      <c r="I742" s="1419" t="str">
        <f>IF('R6a - Net Debt input'!J492 = "","",'R6a - Net Debt input'!J492)</f>
        <v/>
      </c>
      <c r="M742" s="496">
        <v>0.3</v>
      </c>
      <c r="N742" s="496">
        <v>0</v>
      </c>
      <c r="O742" s="496">
        <v>0</v>
      </c>
      <c r="P742" s="496">
        <v>0</v>
      </c>
      <c r="Q742" s="496">
        <v>0</v>
      </c>
      <c r="R742" s="496">
        <v>0</v>
      </c>
      <c r="S742" s="496">
        <v>0</v>
      </c>
      <c r="T742" s="496">
        <v>0</v>
      </c>
      <c r="U742" s="496">
        <v>0</v>
      </c>
      <c r="V742" s="496">
        <v>0</v>
      </c>
    </row>
    <row r="743" spans="2:23" outlineLevel="1">
      <c r="B743" s="324" t="s">
        <v>781</v>
      </c>
      <c r="C743" s="1417" t="str">
        <f>IF('R6a - Net Debt input'!D500 = "","",'R6a - Net Debt input'!D500)</f>
        <v>Collateral income</v>
      </c>
      <c r="D743" s="1418" t="str">
        <f>IF('R6a - Net Debt input'!E493 = "","",'R6a - Net Debt input'!E493)</f>
        <v/>
      </c>
      <c r="E743" s="1418"/>
      <c r="F743" s="1418" t="str">
        <f>IF('R6a - Net Debt input'!G493 = "","",'R6a - Net Debt input'!G493)</f>
        <v/>
      </c>
      <c r="G743" s="1418" t="str">
        <f>IF('R6a - Net Debt input'!H493 = "","",'R6a - Net Debt input'!H493)</f>
        <v/>
      </c>
      <c r="H743" s="1418" t="str">
        <f>IF('R6a - Net Debt input'!I493 = "","",'R6a - Net Debt input'!I493)</f>
        <v/>
      </c>
      <c r="I743" s="1419" t="str">
        <f>IF('R6a - Net Debt input'!J493 = "","",'R6a - Net Debt input'!J493)</f>
        <v/>
      </c>
      <c r="M743" s="496">
        <v>0</v>
      </c>
      <c r="N743" s="496">
        <v>0</v>
      </c>
      <c r="O743" s="496">
        <v>0</v>
      </c>
      <c r="P743" s="496">
        <v>0</v>
      </c>
      <c r="Q743" s="496">
        <v>0</v>
      </c>
      <c r="R743" s="496">
        <v>0</v>
      </c>
      <c r="S743" s="496">
        <v>0</v>
      </c>
      <c r="T743" s="496">
        <v>0</v>
      </c>
      <c r="U743" s="496">
        <v>0</v>
      </c>
      <c r="V743" s="496">
        <v>0</v>
      </c>
    </row>
    <row r="744" spans="2:23" outlineLevel="1">
      <c r="B744" s="324" t="s">
        <v>782</v>
      </c>
      <c r="C744" s="1417" t="str">
        <f>IF('R6a - Net Debt input'!D501 = "","",'R6a - Net Debt input'!D501)</f>
        <v/>
      </c>
      <c r="D744" s="1418" t="str">
        <f>IF('R6a - Net Debt input'!E494 = "","",'R6a - Net Debt input'!E494)</f>
        <v/>
      </c>
      <c r="E744" s="1418"/>
      <c r="F744" s="1418" t="str">
        <f>IF('R6a - Net Debt input'!G494 = "","",'R6a - Net Debt input'!G494)</f>
        <v/>
      </c>
      <c r="G744" s="1418" t="str">
        <f>IF('R6a - Net Debt input'!H494 = "","",'R6a - Net Debt input'!H494)</f>
        <v/>
      </c>
      <c r="H744" s="1418" t="str">
        <f>IF('R6a - Net Debt input'!I494 = "","",'R6a - Net Debt input'!I494)</f>
        <v/>
      </c>
      <c r="I744" s="1419" t="str">
        <f>IF('R6a - Net Debt input'!J494 = "","",'R6a - Net Debt input'!J494)</f>
        <v/>
      </c>
      <c r="M744" s="496">
        <v>0</v>
      </c>
      <c r="N744" s="496">
        <v>0</v>
      </c>
      <c r="O744" s="496">
        <v>0</v>
      </c>
      <c r="P744" s="496">
        <v>0</v>
      </c>
      <c r="Q744" s="496">
        <v>0</v>
      </c>
      <c r="R744" s="496">
        <v>0</v>
      </c>
      <c r="S744" s="496">
        <v>0</v>
      </c>
      <c r="T744" s="496">
        <v>0</v>
      </c>
      <c r="U744" s="496">
        <v>0</v>
      </c>
      <c r="V744" s="496">
        <v>0</v>
      </c>
    </row>
    <row r="745" spans="2:23" outlineLevel="1">
      <c r="B745" s="324" t="s">
        <v>783</v>
      </c>
      <c r="C745" s="1417" t="str">
        <f>IF('R6a - Net Debt input'!D502 = "","",'R6a - Net Debt input'!D502)</f>
        <v/>
      </c>
      <c r="D745" s="1418" t="str">
        <f>IF('R6a - Net Debt input'!E495 = "","",'R6a - Net Debt input'!E495)</f>
        <v/>
      </c>
      <c r="E745" s="1418"/>
      <c r="F745" s="1418" t="str">
        <f>IF('R6a - Net Debt input'!G495 = "","",'R6a - Net Debt input'!G495)</f>
        <v/>
      </c>
      <c r="G745" s="1418" t="str">
        <f>IF('R6a - Net Debt input'!H495 = "","",'R6a - Net Debt input'!H495)</f>
        <v/>
      </c>
      <c r="H745" s="1418" t="str">
        <f>IF('R6a - Net Debt input'!I495 = "","",'R6a - Net Debt input'!I495)</f>
        <v/>
      </c>
      <c r="I745" s="1419" t="str">
        <f>IF('R6a - Net Debt input'!J495 = "","",'R6a - Net Debt input'!J495)</f>
        <v/>
      </c>
      <c r="M745" s="496">
        <v>0</v>
      </c>
      <c r="N745" s="496">
        <v>0</v>
      </c>
      <c r="O745" s="496">
        <v>0</v>
      </c>
      <c r="P745" s="496">
        <v>0</v>
      </c>
      <c r="Q745" s="496">
        <v>0</v>
      </c>
      <c r="R745" s="496">
        <v>0</v>
      </c>
      <c r="S745" s="496">
        <v>0</v>
      </c>
      <c r="T745" s="496">
        <v>0</v>
      </c>
      <c r="U745" s="496">
        <v>0</v>
      </c>
      <c r="V745" s="496">
        <v>0</v>
      </c>
    </row>
    <row r="746" spans="2:23" outlineLevel="1">
      <c r="B746" s="326" t="s">
        <v>784</v>
      </c>
      <c r="C746" s="1417" t="s">
        <v>649</v>
      </c>
      <c r="D746" s="1420"/>
      <c r="E746" s="1420"/>
      <c r="F746" s="1420"/>
      <c r="G746" s="1420"/>
      <c r="H746" s="1420"/>
      <c r="I746" s="1421"/>
      <c r="M746" s="496">
        <v>0</v>
      </c>
      <c r="N746" s="496">
        <v>0</v>
      </c>
      <c r="O746" s="496">
        <v>0</v>
      </c>
      <c r="P746" s="496">
        <v>0</v>
      </c>
      <c r="Q746" s="496">
        <v>0</v>
      </c>
      <c r="R746" s="496">
        <v>0</v>
      </c>
      <c r="S746" s="496">
        <v>0</v>
      </c>
      <c r="T746" s="496">
        <v>0</v>
      </c>
      <c r="U746" s="496">
        <v>0</v>
      </c>
      <c r="V746" s="496">
        <v>0</v>
      </c>
    </row>
    <row r="747" spans="2:23">
      <c r="B747" s="169"/>
      <c r="E747" s="169"/>
      <c r="F747" s="169"/>
      <c r="G747" s="169"/>
      <c r="H747" s="169"/>
      <c r="L747" s="985" t="s">
        <v>785</v>
      </c>
      <c r="M747" s="474">
        <f t="shared" ref="M747:V747" si="50">SUM(M731:M746)</f>
        <v>1.6</v>
      </c>
      <c r="N747" s="475">
        <f t="shared" si="50"/>
        <v>1</v>
      </c>
      <c r="O747" s="475">
        <f t="shared" si="50"/>
        <v>1</v>
      </c>
      <c r="P747" s="475">
        <f t="shared" si="50"/>
        <v>1</v>
      </c>
      <c r="Q747" s="475">
        <f t="shared" si="50"/>
        <v>1</v>
      </c>
      <c r="R747" s="475">
        <f t="shared" si="50"/>
        <v>1</v>
      </c>
      <c r="S747" s="475">
        <f t="shared" si="50"/>
        <v>1</v>
      </c>
      <c r="T747" s="476">
        <f t="shared" si="50"/>
        <v>1</v>
      </c>
      <c r="U747" s="477">
        <f t="shared" si="50"/>
        <v>1</v>
      </c>
      <c r="V747" s="475">
        <f t="shared" si="50"/>
        <v>1</v>
      </c>
    </row>
    <row r="748" spans="2:23">
      <c r="B748" s="169"/>
      <c r="U748" s="283"/>
    </row>
    <row r="749" spans="2:23" ht="14">
      <c r="B749" s="254" t="s">
        <v>786</v>
      </c>
      <c r="C749" s="255" t="s">
        <v>787</v>
      </c>
      <c r="D749" s="255"/>
      <c r="E749" s="255"/>
      <c r="F749" s="255"/>
      <c r="G749" s="256"/>
      <c r="H749" s="256"/>
      <c r="I749" s="256"/>
      <c r="J749" s="256"/>
      <c r="K749" s="256"/>
      <c r="L749" s="254"/>
      <c r="M749" s="255"/>
      <c r="N749" s="255"/>
      <c r="O749" s="255"/>
      <c r="P749" s="255"/>
      <c r="Q749" s="255"/>
      <c r="R749" s="255"/>
      <c r="S749" s="255"/>
      <c r="T749" s="255"/>
      <c r="U749" s="288"/>
      <c r="V749" s="255"/>
    </row>
    <row r="751" spans="2:23" ht="17.5" outlineLevel="1">
      <c r="B751" s="153"/>
      <c r="C751" s="150"/>
      <c r="D751" s="265" t="s">
        <v>467</v>
      </c>
      <c r="E751" s="267"/>
      <c r="F751" s="267"/>
      <c r="G751" s="266"/>
      <c r="H751" s="266"/>
      <c r="I751" s="266"/>
      <c r="J751" s="266"/>
      <c r="K751" s="266"/>
      <c r="L751" s="304"/>
      <c r="M751" s="267"/>
      <c r="N751" s="267"/>
      <c r="O751" s="267"/>
      <c r="P751" s="267"/>
      <c r="Q751" s="267"/>
      <c r="R751" s="267"/>
      <c r="S751" s="267"/>
      <c r="T751" s="267"/>
      <c r="U751" s="290"/>
      <c r="V751" s="267"/>
    </row>
    <row r="752" spans="2:23" outlineLevel="1">
      <c r="B752" s="153"/>
      <c r="C752" s="150"/>
      <c r="D752" s="150"/>
      <c r="E752" s="150"/>
      <c r="F752" s="150"/>
      <c r="G752" s="150"/>
      <c r="H752" s="150"/>
      <c r="I752" s="150"/>
      <c r="J752" s="150"/>
      <c r="K752" s="150"/>
      <c r="L752" s="150"/>
      <c r="M752" s="150"/>
      <c r="N752" s="150"/>
      <c r="O752" s="150"/>
      <c r="P752" s="150"/>
      <c r="Q752" s="150"/>
      <c r="R752" s="150"/>
      <c r="S752" s="150"/>
      <c r="T752" s="150"/>
      <c r="U752" s="150"/>
      <c r="V752" s="150"/>
      <c r="W752" s="150"/>
    </row>
    <row r="753" spans="2:22" outlineLevel="1">
      <c r="B753" s="325" t="s">
        <v>468</v>
      </c>
      <c r="C753" s="552" t="s">
        <v>575</v>
      </c>
      <c r="D753" s="731"/>
      <c r="E753" s="731"/>
      <c r="F753" s="731"/>
      <c r="G753" s="731"/>
      <c r="H753" s="731"/>
      <c r="I753" s="732"/>
      <c r="M753" s="196" t="s">
        <v>469</v>
      </c>
      <c r="N753" s="197" t="s">
        <v>469</v>
      </c>
      <c r="O753" s="197" t="s">
        <v>469</v>
      </c>
      <c r="P753" s="197" t="s">
        <v>469</v>
      </c>
      <c r="Q753" s="197" t="s">
        <v>469</v>
      </c>
      <c r="R753" s="197" t="s">
        <v>469</v>
      </c>
      <c r="S753" s="197" t="s">
        <v>469</v>
      </c>
      <c r="T753" s="278" t="s">
        <v>469</v>
      </c>
      <c r="U753" s="296" t="s">
        <v>469</v>
      </c>
      <c r="V753" s="197" t="s">
        <v>469</v>
      </c>
    </row>
    <row r="754" spans="2:22" outlineLevel="1">
      <c r="B754" s="324" t="s">
        <v>788</v>
      </c>
      <c r="C754" s="1417" t="str">
        <f>IF('R6a - Net Debt input'!D515 = "","",'R6a - Net Debt input'!D515)</f>
        <v/>
      </c>
      <c r="D754" s="1418"/>
      <c r="E754" s="1418"/>
      <c r="F754" s="1418"/>
      <c r="G754" s="1418"/>
      <c r="H754" s="1418"/>
      <c r="I754" s="1419"/>
      <c r="M754" s="496">
        <v>0</v>
      </c>
      <c r="N754" s="496">
        <v>0</v>
      </c>
      <c r="O754" s="496">
        <v>0</v>
      </c>
      <c r="P754" s="496">
        <v>0</v>
      </c>
      <c r="Q754" s="496">
        <v>0</v>
      </c>
      <c r="R754" s="496">
        <v>0</v>
      </c>
      <c r="S754" s="496">
        <v>0</v>
      </c>
      <c r="T754" s="496">
        <v>0</v>
      </c>
      <c r="U754" s="496">
        <v>0</v>
      </c>
      <c r="V754" s="496">
        <v>0</v>
      </c>
    </row>
    <row r="755" spans="2:22" outlineLevel="1">
      <c r="B755" s="324" t="s">
        <v>789</v>
      </c>
      <c r="C755" s="1417" t="str">
        <f>IF('R6a - Net Debt input'!D516 = "","",'R6a - Net Debt input'!D516)</f>
        <v/>
      </c>
      <c r="D755" s="1418"/>
      <c r="E755" s="1418"/>
      <c r="F755" s="1418"/>
      <c r="G755" s="1418"/>
      <c r="H755" s="1418"/>
      <c r="I755" s="1419"/>
      <c r="M755" s="496">
        <v>0</v>
      </c>
      <c r="N755" s="496">
        <v>0</v>
      </c>
      <c r="O755" s="496">
        <v>0</v>
      </c>
      <c r="P755" s="496">
        <v>0</v>
      </c>
      <c r="Q755" s="496">
        <v>0</v>
      </c>
      <c r="R755" s="496">
        <v>0</v>
      </c>
      <c r="S755" s="496">
        <v>0</v>
      </c>
      <c r="T755" s="496">
        <v>0</v>
      </c>
      <c r="U755" s="496">
        <v>0</v>
      </c>
      <c r="V755" s="496">
        <v>0</v>
      </c>
    </row>
    <row r="756" spans="2:22" outlineLevel="1">
      <c r="B756" s="324" t="s">
        <v>790</v>
      </c>
      <c r="C756" s="1417" t="str">
        <f>IF('R6a - Net Debt input'!D517 = "","",'R6a - Net Debt input'!D517)</f>
        <v/>
      </c>
      <c r="D756" s="1418"/>
      <c r="E756" s="1418"/>
      <c r="F756" s="1418"/>
      <c r="G756" s="1418"/>
      <c r="H756" s="1418"/>
      <c r="I756" s="1419"/>
      <c r="M756" s="496">
        <v>0</v>
      </c>
      <c r="N756" s="496">
        <v>0</v>
      </c>
      <c r="O756" s="496">
        <v>0</v>
      </c>
      <c r="P756" s="496">
        <v>0</v>
      </c>
      <c r="Q756" s="496">
        <v>0</v>
      </c>
      <c r="R756" s="496">
        <v>0</v>
      </c>
      <c r="S756" s="496">
        <v>0</v>
      </c>
      <c r="T756" s="496">
        <v>0</v>
      </c>
      <c r="U756" s="496">
        <v>0</v>
      </c>
      <c r="V756" s="496">
        <v>0</v>
      </c>
    </row>
    <row r="757" spans="2:22" outlineLevel="1">
      <c r="B757" s="324" t="s">
        <v>791</v>
      </c>
      <c r="C757" s="1417" t="str">
        <f>IF('R6a - Net Debt input'!D518 = "","",'R6a - Net Debt input'!D518)</f>
        <v/>
      </c>
      <c r="D757" s="1418"/>
      <c r="E757" s="1418"/>
      <c r="F757" s="1418"/>
      <c r="G757" s="1418"/>
      <c r="H757" s="1418"/>
      <c r="I757" s="1419"/>
      <c r="M757" s="496">
        <v>0</v>
      </c>
      <c r="N757" s="496">
        <v>0</v>
      </c>
      <c r="O757" s="496">
        <v>0</v>
      </c>
      <c r="P757" s="496">
        <v>0</v>
      </c>
      <c r="Q757" s="496">
        <v>0</v>
      </c>
      <c r="R757" s="496">
        <v>0</v>
      </c>
      <c r="S757" s="496">
        <v>0</v>
      </c>
      <c r="T757" s="496">
        <v>0</v>
      </c>
      <c r="U757" s="496">
        <v>0</v>
      </c>
      <c r="V757" s="496">
        <v>0</v>
      </c>
    </row>
    <row r="758" spans="2:22" outlineLevel="1">
      <c r="B758" s="326" t="s">
        <v>792</v>
      </c>
      <c r="C758" s="1417" t="s">
        <v>649</v>
      </c>
      <c r="D758" s="1418"/>
      <c r="E758" s="1418"/>
      <c r="F758" s="1418"/>
      <c r="G758" s="1418"/>
      <c r="H758" s="1418"/>
      <c r="I758" s="1419"/>
      <c r="M758" s="496">
        <v>0</v>
      </c>
      <c r="N758" s="496">
        <v>0</v>
      </c>
      <c r="O758" s="496">
        <v>0</v>
      </c>
      <c r="P758" s="496">
        <v>0</v>
      </c>
      <c r="Q758" s="496">
        <v>0</v>
      </c>
      <c r="R758" s="496">
        <v>0</v>
      </c>
      <c r="S758" s="496">
        <v>0</v>
      </c>
      <c r="T758" s="496">
        <v>0</v>
      </c>
      <c r="U758" s="496">
        <v>0</v>
      </c>
      <c r="V758" s="496">
        <v>0</v>
      </c>
    </row>
    <row r="759" spans="2:22">
      <c r="B759" s="169"/>
      <c r="E759" s="169"/>
      <c r="F759" s="169"/>
      <c r="G759" s="169"/>
      <c r="H759" s="169"/>
      <c r="L759" s="985" t="s">
        <v>793</v>
      </c>
      <c r="M759" s="474">
        <f>SUM(M754:M758)</f>
        <v>0</v>
      </c>
      <c r="N759" s="475">
        <f t="shared" ref="N759:V759" si="51">SUM(N754:N758)</f>
        <v>0</v>
      </c>
      <c r="O759" s="475">
        <f t="shared" si="51"/>
        <v>0</v>
      </c>
      <c r="P759" s="475">
        <f t="shared" si="51"/>
        <v>0</v>
      </c>
      <c r="Q759" s="475">
        <f t="shared" si="51"/>
        <v>0</v>
      </c>
      <c r="R759" s="475">
        <f t="shared" si="51"/>
        <v>0</v>
      </c>
      <c r="S759" s="475">
        <f t="shared" si="51"/>
        <v>0</v>
      </c>
      <c r="T759" s="476">
        <f t="shared" si="51"/>
        <v>0</v>
      </c>
      <c r="U759" s="477">
        <f t="shared" si="51"/>
        <v>0</v>
      </c>
      <c r="V759" s="475">
        <f t="shared" si="51"/>
        <v>0</v>
      </c>
    </row>
    <row r="760" spans="2:22">
      <c r="B760" s="169"/>
    </row>
    <row r="761" spans="2:22" ht="17.5" outlineLevel="1">
      <c r="C761" s="150"/>
      <c r="D761" s="265" t="s">
        <v>533</v>
      </c>
      <c r="E761" s="266"/>
      <c r="F761" s="266"/>
      <c r="G761" s="266"/>
      <c r="H761" s="266"/>
      <c r="I761" s="266"/>
      <c r="J761" s="266"/>
      <c r="K761" s="266"/>
      <c r="L761" s="304"/>
      <c r="M761" s="266"/>
      <c r="N761" s="266"/>
      <c r="O761" s="266"/>
      <c r="P761" s="266"/>
      <c r="Q761" s="266"/>
      <c r="R761" s="266"/>
      <c r="S761" s="266"/>
      <c r="T761" s="266"/>
      <c r="U761" s="284"/>
      <c r="V761" s="266"/>
    </row>
    <row r="763" spans="2:22" outlineLevel="1">
      <c r="B763" s="325" t="s">
        <v>468</v>
      </c>
      <c r="C763" s="552" t="s">
        <v>575</v>
      </c>
      <c r="D763" s="731"/>
      <c r="E763" s="731"/>
      <c r="F763" s="731"/>
      <c r="G763" s="731"/>
      <c r="H763" s="731"/>
      <c r="I763" s="732"/>
      <c r="M763" s="196" t="s">
        <v>469</v>
      </c>
      <c r="N763" s="197" t="s">
        <v>469</v>
      </c>
      <c r="O763" s="197" t="s">
        <v>469</v>
      </c>
      <c r="P763" s="197" t="s">
        <v>469</v>
      </c>
      <c r="Q763" s="197" t="s">
        <v>469</v>
      </c>
      <c r="R763" s="197" t="s">
        <v>469</v>
      </c>
      <c r="S763" s="197" t="s">
        <v>469</v>
      </c>
      <c r="T763" s="278" t="s">
        <v>469</v>
      </c>
      <c r="U763" s="296" t="s">
        <v>469</v>
      </c>
      <c r="V763" s="197" t="s">
        <v>469</v>
      </c>
    </row>
    <row r="764" spans="2:22" outlineLevel="1">
      <c r="B764" s="324" t="s">
        <v>788</v>
      </c>
      <c r="C764" s="1417" t="str">
        <f>IF('R6a - Net Debt input'!D515 = "","",'R6a - Net Debt input'!D515)</f>
        <v/>
      </c>
      <c r="D764" s="1418" t="str">
        <f>IF('R6a - Net Debt input'!E501 = "","",'R6a - Net Debt input'!E501)</f>
        <v/>
      </c>
      <c r="E764" s="1418" t="str">
        <f>IF('R6a - Net Debt input'!F501 = "","",'R6a - Net Debt input'!F501)</f>
        <v/>
      </c>
      <c r="F764" s="1418" t="str">
        <f>IF('R6a - Net Debt input'!G501 = "","",'R6a - Net Debt input'!G501)</f>
        <v/>
      </c>
      <c r="G764" s="1418" t="str">
        <f>IF('R6a - Net Debt input'!H501 = "","",'R6a - Net Debt input'!H501)</f>
        <v/>
      </c>
      <c r="H764" s="1418" t="str">
        <f>IF('R6a - Net Debt input'!I501 = "","",'R6a - Net Debt input'!I501)</f>
        <v/>
      </c>
      <c r="I764" s="1419" t="str">
        <f>IF('R6a - Net Debt input'!J501 = "","",'R6a - Net Debt input'!J501)</f>
        <v/>
      </c>
      <c r="M764" s="496">
        <v>0</v>
      </c>
      <c r="N764" s="496">
        <v>0</v>
      </c>
      <c r="O764" s="496">
        <v>0</v>
      </c>
      <c r="P764" s="496">
        <v>0</v>
      </c>
      <c r="Q764" s="496">
        <v>0</v>
      </c>
      <c r="R764" s="496">
        <v>0</v>
      </c>
      <c r="S764" s="496">
        <v>0</v>
      </c>
      <c r="T764" s="496">
        <v>0</v>
      </c>
      <c r="U764" s="496">
        <v>0</v>
      </c>
      <c r="V764" s="496">
        <v>0</v>
      </c>
    </row>
    <row r="765" spans="2:22" outlineLevel="1">
      <c r="B765" s="324" t="s">
        <v>789</v>
      </c>
      <c r="C765" s="1417" t="str">
        <f>IF('R6a - Net Debt input'!D516 = "","",'R6a - Net Debt input'!D516)</f>
        <v/>
      </c>
      <c r="D765" s="1418" t="str">
        <f>IF('R6a - Net Debt input'!E502 = "","",'R6a - Net Debt input'!E502)</f>
        <v/>
      </c>
      <c r="E765" s="1418" t="str">
        <f>IF('R6a - Net Debt input'!F502 = "","",'R6a - Net Debt input'!F502)</f>
        <v/>
      </c>
      <c r="F765" s="1418" t="str">
        <f>IF('R6a - Net Debt input'!G502 = "","",'R6a - Net Debt input'!G502)</f>
        <v/>
      </c>
      <c r="G765" s="1418" t="str">
        <f>IF('R6a - Net Debt input'!H502 = "","",'R6a - Net Debt input'!H502)</f>
        <v/>
      </c>
      <c r="H765" s="1418" t="str">
        <f>IF('R6a - Net Debt input'!I502 = "","",'R6a - Net Debt input'!I502)</f>
        <v/>
      </c>
      <c r="I765" s="1419" t="str">
        <f>IF('R6a - Net Debt input'!J502 = "","",'R6a - Net Debt input'!J502)</f>
        <v/>
      </c>
      <c r="M765" s="496">
        <v>0</v>
      </c>
      <c r="N765" s="496">
        <v>0</v>
      </c>
      <c r="O765" s="496">
        <v>0</v>
      </c>
      <c r="P765" s="496">
        <v>0</v>
      </c>
      <c r="Q765" s="496">
        <v>0</v>
      </c>
      <c r="R765" s="496">
        <v>0</v>
      </c>
      <c r="S765" s="496">
        <v>0</v>
      </c>
      <c r="T765" s="496">
        <v>0</v>
      </c>
      <c r="U765" s="496">
        <v>0</v>
      </c>
      <c r="V765" s="496">
        <v>0</v>
      </c>
    </row>
    <row r="766" spans="2:22" outlineLevel="1">
      <c r="B766" s="324" t="s">
        <v>790</v>
      </c>
      <c r="C766" s="1417" t="str">
        <f>IF('R6a - Net Debt input'!D517 = "","",'R6a - Net Debt input'!D517)</f>
        <v/>
      </c>
      <c r="D766" s="1418" t="str">
        <f>IF('R6a - Net Debt input'!E503 = "","",'R6a - Net Debt input'!E503)</f>
        <v/>
      </c>
      <c r="E766" s="1418" t="str">
        <f>IF('R6a - Net Debt input'!F503 = "","",'R6a - Net Debt input'!F503)</f>
        <v/>
      </c>
      <c r="F766" s="1418" t="str">
        <f>IF('R6a - Net Debt input'!G503 = "","",'R6a - Net Debt input'!G503)</f>
        <v/>
      </c>
      <c r="G766" s="1418" t="str">
        <f>IF('R6a - Net Debt input'!H503 = "","",'R6a - Net Debt input'!H503)</f>
        <v/>
      </c>
      <c r="H766" s="1418" t="str">
        <f>IF('R6a - Net Debt input'!I503 = "","",'R6a - Net Debt input'!I503)</f>
        <v/>
      </c>
      <c r="I766" s="1419" t="str">
        <f>IF('R6a - Net Debt input'!J503 = "","",'R6a - Net Debt input'!J503)</f>
        <v/>
      </c>
      <c r="M766" s="496">
        <v>0</v>
      </c>
      <c r="N766" s="496">
        <v>0</v>
      </c>
      <c r="O766" s="496">
        <v>0</v>
      </c>
      <c r="P766" s="496">
        <v>0</v>
      </c>
      <c r="Q766" s="496">
        <v>0</v>
      </c>
      <c r="R766" s="496">
        <v>0</v>
      </c>
      <c r="S766" s="496">
        <v>0</v>
      </c>
      <c r="T766" s="496">
        <v>0</v>
      </c>
      <c r="U766" s="496">
        <v>0</v>
      </c>
      <c r="V766" s="496">
        <v>0</v>
      </c>
    </row>
    <row r="767" spans="2:22" outlineLevel="1">
      <c r="B767" s="324" t="s">
        <v>791</v>
      </c>
      <c r="C767" s="1417" t="str">
        <f>IF('R6a - Net Debt input'!D518 = "","",'R6a - Net Debt input'!D518)</f>
        <v/>
      </c>
      <c r="D767" s="1418" t="str">
        <f>IF('R6a - Net Debt input'!E504 = "","",'R6a - Net Debt input'!E504)</f>
        <v/>
      </c>
      <c r="E767" s="1418" t="str">
        <f>IF('R6a - Net Debt input'!F504 = "","",'R6a - Net Debt input'!F504)</f>
        <v/>
      </c>
      <c r="F767" s="1418" t="str">
        <f>IF('R6a - Net Debt input'!G504 = "","",'R6a - Net Debt input'!G504)</f>
        <v/>
      </c>
      <c r="G767" s="1418" t="str">
        <f>IF('R6a - Net Debt input'!H504 = "","",'R6a - Net Debt input'!H504)</f>
        <v/>
      </c>
      <c r="H767" s="1418" t="str">
        <f>IF('R6a - Net Debt input'!I504 = "","",'R6a - Net Debt input'!I504)</f>
        <v/>
      </c>
      <c r="I767" s="1419" t="str">
        <f>IF('R6a - Net Debt input'!J504 = "","",'R6a - Net Debt input'!J504)</f>
        <v/>
      </c>
      <c r="M767" s="496">
        <v>0</v>
      </c>
      <c r="N767" s="496">
        <v>0</v>
      </c>
      <c r="O767" s="496">
        <v>0</v>
      </c>
      <c r="P767" s="496">
        <v>0</v>
      </c>
      <c r="Q767" s="496">
        <v>0</v>
      </c>
      <c r="R767" s="496">
        <v>0</v>
      </c>
      <c r="S767" s="496">
        <v>0</v>
      </c>
      <c r="T767" s="496">
        <v>0</v>
      </c>
      <c r="U767" s="496">
        <v>0</v>
      </c>
      <c r="V767" s="496">
        <v>0</v>
      </c>
    </row>
    <row r="768" spans="2:22" outlineLevel="1">
      <c r="B768" s="326" t="s">
        <v>792</v>
      </c>
      <c r="C768" s="1417" t="s">
        <v>649</v>
      </c>
      <c r="D768" s="1418"/>
      <c r="E768" s="1418"/>
      <c r="F768" s="1418"/>
      <c r="G768" s="1418"/>
      <c r="H768" s="1418"/>
      <c r="I768" s="1419"/>
      <c r="M768" s="496">
        <v>0</v>
      </c>
      <c r="N768" s="496">
        <v>0</v>
      </c>
      <c r="O768" s="496">
        <v>0</v>
      </c>
      <c r="P768" s="496">
        <v>0</v>
      </c>
      <c r="Q768" s="496">
        <v>0</v>
      </c>
      <c r="R768" s="496">
        <v>0</v>
      </c>
      <c r="S768" s="496">
        <v>0</v>
      </c>
      <c r="T768" s="496">
        <v>0</v>
      </c>
      <c r="U768" s="496">
        <v>0</v>
      </c>
      <c r="V768" s="496">
        <v>0</v>
      </c>
    </row>
    <row r="769" spans="2:24">
      <c r="B769" s="169"/>
      <c r="E769" s="169"/>
      <c r="F769" s="169"/>
      <c r="G769" s="169"/>
      <c r="H769" s="169"/>
      <c r="L769" s="985" t="s">
        <v>793</v>
      </c>
      <c r="M769" s="474">
        <f t="shared" ref="M769:V769" si="52">SUM(M764:M768)</f>
        <v>0</v>
      </c>
      <c r="N769" s="475">
        <f t="shared" si="52"/>
        <v>0</v>
      </c>
      <c r="O769" s="475">
        <f t="shared" si="52"/>
        <v>0</v>
      </c>
      <c r="P769" s="475">
        <f t="shared" si="52"/>
        <v>0</v>
      </c>
      <c r="Q769" s="475">
        <f t="shared" si="52"/>
        <v>0</v>
      </c>
      <c r="R769" s="475">
        <f t="shared" si="52"/>
        <v>0</v>
      </c>
      <c r="S769" s="475">
        <f t="shared" si="52"/>
        <v>0</v>
      </c>
      <c r="T769" s="476">
        <f t="shared" si="52"/>
        <v>0</v>
      </c>
      <c r="U769" s="477">
        <f t="shared" si="52"/>
        <v>0</v>
      </c>
      <c r="V769" s="475">
        <f t="shared" si="52"/>
        <v>0</v>
      </c>
    </row>
    <row r="770" spans="2:24">
      <c r="B770" s="169"/>
      <c r="E770" s="169"/>
      <c r="F770" s="169"/>
      <c r="G770" s="169"/>
      <c r="H770" s="169"/>
      <c r="U770" s="283"/>
    </row>
    <row r="771" spans="2:24" ht="15">
      <c r="B771" s="257" t="s">
        <v>794</v>
      </c>
      <c r="C771" s="253"/>
      <c r="D771" s="253"/>
      <c r="E771" s="258"/>
      <c r="F771" s="258"/>
      <c r="G771" s="253"/>
      <c r="H771" s="253"/>
      <c r="I771" s="253"/>
      <c r="J771" s="253"/>
      <c r="K771" s="253"/>
      <c r="L771" s="253"/>
      <c r="M771" s="253"/>
      <c r="N771" s="253"/>
      <c r="O771" s="253"/>
      <c r="P771" s="253"/>
      <c r="Q771" s="253"/>
      <c r="R771" s="253"/>
      <c r="S771" s="253"/>
      <c r="T771" s="253"/>
      <c r="U771" s="295"/>
      <c r="V771" s="253"/>
    </row>
    <row r="772" spans="2:24" ht="15">
      <c r="B772" s="270"/>
      <c r="E772" s="157"/>
      <c r="F772" s="157"/>
      <c r="U772" s="283"/>
    </row>
    <row r="773" spans="2:24" outlineLevel="1">
      <c r="B773" s="158" t="s">
        <v>795</v>
      </c>
      <c r="D773" s="157"/>
      <c r="M773" s="196" t="s">
        <v>469</v>
      </c>
      <c r="N773" s="197" t="s">
        <v>469</v>
      </c>
      <c r="O773" s="197" t="s">
        <v>469</v>
      </c>
      <c r="P773" s="197" t="s">
        <v>469</v>
      </c>
      <c r="Q773" s="197" t="s">
        <v>469</v>
      </c>
      <c r="R773" s="197" t="s">
        <v>469</v>
      </c>
      <c r="S773" s="197" t="s">
        <v>469</v>
      </c>
      <c r="T773" s="278" t="s">
        <v>469</v>
      </c>
      <c r="U773" s="296" t="s">
        <v>469</v>
      </c>
      <c r="V773" s="197" t="s">
        <v>469</v>
      </c>
    </row>
    <row r="774" spans="2:24" outlineLevel="1">
      <c r="C774" s="214" t="s">
        <v>796</v>
      </c>
      <c r="D774" s="201"/>
      <c r="E774" s="215"/>
      <c r="F774" s="201"/>
      <c r="G774" s="201"/>
      <c r="H774" s="201"/>
      <c r="I774" s="201"/>
      <c r="J774" s="201"/>
      <c r="K774" s="201"/>
      <c r="L774" s="201"/>
      <c r="M774" s="469">
        <v>0</v>
      </c>
      <c r="N774" s="469">
        <v>0</v>
      </c>
      <c r="O774" s="469">
        <v>0</v>
      </c>
      <c r="P774" s="469">
        <v>0</v>
      </c>
      <c r="Q774" s="469">
        <v>0</v>
      </c>
      <c r="R774" s="469">
        <v>0</v>
      </c>
      <c r="S774" s="469">
        <v>0</v>
      </c>
      <c r="T774" s="469">
        <v>0</v>
      </c>
      <c r="U774" s="469">
        <v>0</v>
      </c>
      <c r="V774" s="469">
        <v>0</v>
      </c>
      <c r="X774" s="986"/>
    </row>
    <row r="775" spans="2:24" outlineLevel="1">
      <c r="C775" s="214" t="s">
        <v>797</v>
      </c>
      <c r="D775" s="201"/>
      <c r="E775" s="215"/>
      <c r="F775" s="215"/>
      <c r="G775" s="201"/>
      <c r="H775" s="201"/>
      <c r="I775" s="201"/>
      <c r="J775" s="201"/>
      <c r="K775" s="201"/>
      <c r="L775" s="201"/>
      <c r="M775" s="469">
        <v>0</v>
      </c>
      <c r="N775" s="469">
        <v>0</v>
      </c>
      <c r="O775" s="469">
        <v>0</v>
      </c>
      <c r="P775" s="469">
        <v>0</v>
      </c>
      <c r="Q775" s="469">
        <v>0</v>
      </c>
      <c r="R775" s="469">
        <v>0</v>
      </c>
      <c r="S775" s="469">
        <v>0</v>
      </c>
      <c r="T775" s="469">
        <v>0</v>
      </c>
      <c r="U775" s="469">
        <v>0</v>
      </c>
      <c r="V775" s="469">
        <v>0</v>
      </c>
      <c r="X775" s="986"/>
    </row>
    <row r="776" spans="2:24" outlineLevel="1">
      <c r="B776" s="150" t="s">
        <v>464</v>
      </c>
      <c r="C776" s="201" t="s">
        <v>466</v>
      </c>
      <c r="D776" s="201"/>
      <c r="E776" s="215"/>
      <c r="F776" s="215"/>
      <c r="G776" s="201"/>
      <c r="H776" s="201"/>
      <c r="I776" s="201"/>
      <c r="J776" s="201"/>
      <c r="K776" s="201"/>
      <c r="L776" s="201"/>
      <c r="M776" s="627">
        <f t="shared" ref="M776:V776" si="53">M85</f>
        <v>255.20000000000005</v>
      </c>
      <c r="N776" s="628">
        <f t="shared" si="53"/>
        <v>390.8018027861271</v>
      </c>
      <c r="O776" s="628">
        <f t="shared" si="53"/>
        <v>270.388377048579</v>
      </c>
      <c r="P776" s="628">
        <f t="shared" si="53"/>
        <v>216.18222993511748</v>
      </c>
      <c r="Q776" s="628">
        <f t="shared" si="53"/>
        <v>217.49521885171393</v>
      </c>
      <c r="R776" s="628">
        <f t="shared" si="53"/>
        <v>228.75433193449359</v>
      </c>
      <c r="S776" s="628">
        <f t="shared" si="53"/>
        <v>220.80972364572716</v>
      </c>
      <c r="T776" s="629">
        <f t="shared" si="53"/>
        <v>213.98565959619958</v>
      </c>
      <c r="U776" s="630">
        <f t="shared" si="53"/>
        <v>206.31205356698567</v>
      </c>
      <c r="V776" s="628">
        <f t="shared" si="53"/>
        <v>186.07445692828074</v>
      </c>
      <c r="X776" s="987">
        <f>X85</f>
        <v>0</v>
      </c>
    </row>
    <row r="777" spans="2:24" outlineLevel="1">
      <c r="B777" s="150" t="s">
        <v>464</v>
      </c>
      <c r="C777" s="214" t="s">
        <v>798</v>
      </c>
      <c r="D777" s="201"/>
      <c r="E777" s="215"/>
      <c r="F777" s="215"/>
      <c r="G777" s="201"/>
      <c r="H777" s="201"/>
      <c r="I777" s="201"/>
      <c r="J777" s="201"/>
      <c r="K777" s="201"/>
      <c r="L777" s="201"/>
      <c r="M777" s="627">
        <f t="shared" ref="M777:V777" si="54">M180</f>
        <v>88.000000000000014</v>
      </c>
      <c r="N777" s="628">
        <f t="shared" si="54"/>
        <v>80.274841690000002</v>
      </c>
      <c r="O777" s="628">
        <f t="shared" si="54"/>
        <v>55.107185140000013</v>
      </c>
      <c r="P777" s="628">
        <f t="shared" si="54"/>
        <v>35.480077090000002</v>
      </c>
      <c r="Q777" s="628">
        <f t="shared" si="54"/>
        <v>33.820128709999999</v>
      </c>
      <c r="R777" s="628">
        <f t="shared" si="54"/>
        <v>59.824994970000006</v>
      </c>
      <c r="S777" s="628">
        <f t="shared" si="54"/>
        <v>19.899999999999999</v>
      </c>
      <c r="T777" s="629">
        <f t="shared" si="54"/>
        <v>17.899999999999999</v>
      </c>
      <c r="U777" s="630">
        <f t="shared" si="54"/>
        <v>15.899999999999999</v>
      </c>
      <c r="V777" s="628">
        <f t="shared" si="54"/>
        <v>13.5</v>
      </c>
      <c r="X777" s="987">
        <f>X180</f>
        <v>0</v>
      </c>
    </row>
    <row r="778" spans="2:24" outlineLevel="1">
      <c r="B778" s="150" t="s">
        <v>551</v>
      </c>
      <c r="C778" s="214" t="s">
        <v>799</v>
      </c>
      <c r="D778" s="201"/>
      <c r="E778" s="215"/>
      <c r="F778" s="215"/>
      <c r="G778" s="201"/>
      <c r="H778" s="201"/>
      <c r="I778" s="201"/>
      <c r="J778" s="201"/>
      <c r="K778" s="201"/>
      <c r="L778" s="201"/>
      <c r="M778" s="627">
        <f t="shared" ref="M778:V778" si="55">M219</f>
        <v>0.97457300000000013</v>
      </c>
      <c r="N778" s="628">
        <f t="shared" si="55"/>
        <v>0</v>
      </c>
      <c r="O778" s="628">
        <f t="shared" si="55"/>
        <v>0</v>
      </c>
      <c r="P778" s="628">
        <f t="shared" si="55"/>
        <v>0</v>
      </c>
      <c r="Q778" s="628">
        <f t="shared" si="55"/>
        <v>0</v>
      </c>
      <c r="R778" s="628">
        <f t="shared" si="55"/>
        <v>0</v>
      </c>
      <c r="S778" s="628">
        <f t="shared" si="55"/>
        <v>0</v>
      </c>
      <c r="T778" s="629">
        <f t="shared" si="55"/>
        <v>0</v>
      </c>
      <c r="U778" s="630">
        <f t="shared" si="55"/>
        <v>0</v>
      </c>
      <c r="V778" s="628">
        <f t="shared" si="55"/>
        <v>0</v>
      </c>
      <c r="X778" s="987">
        <f>X219</f>
        <v>0</v>
      </c>
    </row>
    <row r="779" spans="2:24" outlineLevel="1">
      <c r="B779" s="150" t="s">
        <v>800</v>
      </c>
      <c r="C779" s="214" t="s">
        <v>801</v>
      </c>
      <c r="D779" s="201"/>
      <c r="E779" s="215"/>
      <c r="F779" s="215"/>
      <c r="G779" s="201"/>
      <c r="H779" s="201"/>
      <c r="I779" s="201"/>
      <c r="J779" s="201"/>
      <c r="K779" s="201"/>
      <c r="L779" s="201"/>
      <c r="M779" s="627">
        <f t="shared" ref="M779:V779" si="56">SUM( M391,M535,M638,M667,M691,M725,M759)</f>
        <v>-9.7000000000000028</v>
      </c>
      <c r="N779" s="627">
        <f t="shared" si="56"/>
        <v>8.4716175765845065</v>
      </c>
      <c r="O779" s="627">
        <f t="shared" si="56"/>
        <v>22.196885156584504</v>
      </c>
      <c r="P779" s="627">
        <f t="shared" si="56"/>
        <v>17.476776488926223</v>
      </c>
      <c r="Q779" s="627">
        <f t="shared" si="56"/>
        <v>12.847389099311091</v>
      </c>
      <c r="R779" s="627">
        <f t="shared" si="56"/>
        <v>10.44606254931109</v>
      </c>
      <c r="S779" s="627">
        <f t="shared" si="56"/>
        <v>9.0425284118905154</v>
      </c>
      <c r="T779" s="627">
        <f t="shared" si="56"/>
        <v>7.8922715067353213</v>
      </c>
      <c r="U779" s="627">
        <f t="shared" si="56"/>
        <v>10.451404391618546</v>
      </c>
      <c r="V779" s="627">
        <f t="shared" si="56"/>
        <v>12.147911592046331</v>
      </c>
      <c r="X779" s="987"/>
    </row>
    <row r="780" spans="2:24" outlineLevel="1">
      <c r="C780" s="405" t="s">
        <v>552</v>
      </c>
      <c r="D780" s="406"/>
      <c r="E780" s="407"/>
      <c r="F780" s="407"/>
      <c r="G780" s="201"/>
      <c r="H780" s="201"/>
      <c r="I780" s="201"/>
      <c r="J780" s="201"/>
      <c r="K780" s="201"/>
      <c r="L780" s="201"/>
      <c r="M780" s="469">
        <v>1.5079340000000001</v>
      </c>
      <c r="N780" s="469">
        <v>0</v>
      </c>
      <c r="O780" s="469">
        <v>0</v>
      </c>
      <c r="P780" s="469">
        <v>0</v>
      </c>
      <c r="Q780" s="469">
        <v>0</v>
      </c>
      <c r="R780" s="469">
        <v>0</v>
      </c>
      <c r="S780" s="469">
        <v>0</v>
      </c>
      <c r="T780" s="469">
        <v>0</v>
      </c>
      <c r="U780" s="469">
        <v>0</v>
      </c>
      <c r="V780" s="469">
        <v>0</v>
      </c>
      <c r="X780" s="986"/>
    </row>
    <row r="781" spans="2:24" outlineLevel="1">
      <c r="C781" s="405" t="s">
        <v>802</v>
      </c>
      <c r="D781" s="406"/>
      <c r="E781" s="407"/>
      <c r="F781" s="407"/>
      <c r="G781" s="201"/>
      <c r="H781" s="201"/>
      <c r="I781" s="201"/>
      <c r="J781" s="201"/>
      <c r="K781" s="201"/>
      <c r="L781" s="201"/>
      <c r="M781" s="469">
        <v>0</v>
      </c>
      <c r="N781" s="469">
        <v>0</v>
      </c>
      <c r="O781" s="469">
        <v>0</v>
      </c>
      <c r="P781" s="469">
        <v>0</v>
      </c>
      <c r="Q781" s="469">
        <v>0</v>
      </c>
      <c r="R781" s="469">
        <v>0</v>
      </c>
      <c r="S781" s="469">
        <v>0</v>
      </c>
      <c r="T781" s="469">
        <v>0</v>
      </c>
      <c r="U781" s="469">
        <v>0</v>
      </c>
      <c r="V781" s="469">
        <v>0</v>
      </c>
      <c r="X781" s="986"/>
    </row>
    <row r="782" spans="2:24" outlineLevel="1">
      <c r="C782" s="405" t="s">
        <v>802</v>
      </c>
      <c r="D782" s="406"/>
      <c r="E782" s="407"/>
      <c r="F782" s="407"/>
      <c r="G782" s="201"/>
      <c r="H782" s="201"/>
      <c r="I782" s="201"/>
      <c r="J782" s="201"/>
      <c r="K782" s="201"/>
      <c r="L782" s="201"/>
      <c r="M782" s="469">
        <v>0</v>
      </c>
      <c r="N782" s="469">
        <v>0</v>
      </c>
      <c r="O782" s="469">
        <v>0</v>
      </c>
      <c r="P782" s="469">
        <v>0</v>
      </c>
      <c r="Q782" s="469">
        <v>0</v>
      </c>
      <c r="R782" s="469">
        <v>0</v>
      </c>
      <c r="S782" s="469">
        <v>0</v>
      </c>
      <c r="T782" s="469">
        <v>0</v>
      </c>
      <c r="U782" s="469">
        <v>0</v>
      </c>
      <c r="V782" s="469">
        <v>0</v>
      </c>
      <c r="X782" s="986"/>
    </row>
    <row r="783" spans="2:24" outlineLevel="1">
      <c r="C783" s="405" t="s">
        <v>802</v>
      </c>
      <c r="D783" s="406"/>
      <c r="E783" s="407"/>
      <c r="F783" s="407"/>
      <c r="G783" s="201"/>
      <c r="H783" s="201"/>
      <c r="I783" s="201"/>
      <c r="J783" s="201"/>
      <c r="K783" s="201"/>
      <c r="L783" s="201"/>
      <c r="M783" s="469">
        <v>0</v>
      </c>
      <c r="N783" s="469">
        <v>0</v>
      </c>
      <c r="O783" s="469">
        <v>0</v>
      </c>
      <c r="P783" s="469">
        <v>0</v>
      </c>
      <c r="Q783" s="469">
        <v>0</v>
      </c>
      <c r="R783" s="469">
        <v>0</v>
      </c>
      <c r="S783" s="469">
        <v>0</v>
      </c>
      <c r="T783" s="469">
        <v>0</v>
      </c>
      <c r="U783" s="469">
        <v>0</v>
      </c>
      <c r="V783" s="469">
        <v>0</v>
      </c>
      <c r="X783" s="986"/>
    </row>
    <row r="784" spans="2:24" outlineLevel="1">
      <c r="C784" s="405" t="s">
        <v>802</v>
      </c>
      <c r="D784" s="406"/>
      <c r="E784" s="407"/>
      <c r="F784" s="407"/>
      <c r="G784" s="201"/>
      <c r="H784" s="201"/>
      <c r="I784" s="201"/>
      <c r="J784" s="201"/>
      <c r="K784" s="201"/>
      <c r="L784" s="201"/>
      <c r="M784" s="469">
        <v>0</v>
      </c>
      <c r="N784" s="469">
        <v>0</v>
      </c>
      <c r="O784" s="469">
        <v>0</v>
      </c>
      <c r="P784" s="469">
        <v>0</v>
      </c>
      <c r="Q784" s="469">
        <v>0</v>
      </c>
      <c r="R784" s="469">
        <v>0</v>
      </c>
      <c r="S784" s="469">
        <v>0</v>
      </c>
      <c r="T784" s="469">
        <v>0</v>
      </c>
      <c r="U784" s="469">
        <v>0</v>
      </c>
      <c r="V784" s="469">
        <v>0</v>
      </c>
      <c r="X784" s="986"/>
    </row>
    <row r="785" spans="3:24" outlineLevel="1">
      <c r="C785" s="216" t="s">
        <v>803</v>
      </c>
      <c r="D785" s="201"/>
      <c r="E785" s="215"/>
      <c r="F785" s="215"/>
      <c r="G785" s="201"/>
      <c r="H785" s="201"/>
      <c r="I785" s="201"/>
      <c r="J785" s="201"/>
      <c r="K785" s="201"/>
      <c r="L785" s="201"/>
      <c r="M785" s="478">
        <f t="shared" ref="M785:V785" si="57">SUM(M774:M784)</f>
        <v>335.98250700000006</v>
      </c>
      <c r="N785" s="479">
        <f t="shared" si="57"/>
        <v>479.54826205271161</v>
      </c>
      <c r="O785" s="479">
        <f t="shared" si="57"/>
        <v>347.69244734516354</v>
      </c>
      <c r="P785" s="479">
        <f t="shared" si="57"/>
        <v>269.1390835140437</v>
      </c>
      <c r="Q785" s="479">
        <f t="shared" si="57"/>
        <v>264.16273666102501</v>
      </c>
      <c r="R785" s="479">
        <f t="shared" si="57"/>
        <v>299.02538945380468</v>
      </c>
      <c r="S785" s="479">
        <f t="shared" si="57"/>
        <v>249.75225205761768</v>
      </c>
      <c r="T785" s="480">
        <f t="shared" si="57"/>
        <v>239.7779311029349</v>
      </c>
      <c r="U785" s="481">
        <f t="shared" si="57"/>
        <v>232.66345795860423</v>
      </c>
      <c r="V785" s="479">
        <f t="shared" si="57"/>
        <v>211.72236852032708</v>
      </c>
      <c r="X785" s="782">
        <f>SUM(X774:X780)</f>
        <v>0</v>
      </c>
    </row>
    <row r="786" spans="3:24" outlineLevel="1">
      <c r="C786" s="214" t="s">
        <v>804</v>
      </c>
      <c r="D786" s="201"/>
      <c r="E786" s="215"/>
      <c r="F786" s="215"/>
      <c r="G786" s="201"/>
      <c r="H786" s="201"/>
      <c r="I786" s="201"/>
      <c r="J786" s="201"/>
      <c r="K786" s="201"/>
      <c r="L786" s="201"/>
      <c r="M786" s="469">
        <v>0</v>
      </c>
      <c r="N786" s="469">
        <v>0</v>
      </c>
      <c r="O786" s="469">
        <v>0</v>
      </c>
      <c r="P786" s="469">
        <v>0</v>
      </c>
      <c r="Q786" s="469">
        <v>0</v>
      </c>
      <c r="R786" s="469">
        <v>0</v>
      </c>
      <c r="S786" s="469">
        <v>0</v>
      </c>
      <c r="T786" s="469">
        <v>0</v>
      </c>
      <c r="U786" s="469">
        <v>0</v>
      </c>
      <c r="V786" s="469">
        <v>0</v>
      </c>
      <c r="X786" s="986"/>
    </row>
    <row r="787" spans="3:24" outlineLevel="1">
      <c r="C787" s="214" t="s">
        <v>805</v>
      </c>
      <c r="D787" s="201"/>
      <c r="E787" s="215"/>
      <c r="F787" s="215"/>
      <c r="G787" s="201"/>
      <c r="H787" s="201"/>
      <c r="I787" s="201"/>
      <c r="J787" s="201"/>
      <c r="K787" s="201"/>
      <c r="L787" s="201"/>
      <c r="M787" s="469">
        <v>1.824794</v>
      </c>
      <c r="N787" s="469">
        <v>1.824794</v>
      </c>
      <c r="O787" s="469">
        <v>1.824794</v>
      </c>
      <c r="P787" s="469">
        <v>1.824794</v>
      </c>
      <c r="Q787" s="469">
        <v>1.824794</v>
      </c>
      <c r="R787" s="469">
        <v>1.824794</v>
      </c>
      <c r="S787" s="469">
        <v>1.824794</v>
      </c>
      <c r="T787" s="469">
        <v>1.824794</v>
      </c>
      <c r="U787" s="469">
        <v>1.824794</v>
      </c>
      <c r="V787" s="469">
        <v>1.824794</v>
      </c>
      <c r="X787" s="986"/>
    </row>
    <row r="788" spans="3:24" outlineLevel="1">
      <c r="C788" s="214" t="s">
        <v>806</v>
      </c>
      <c r="D788" s="201"/>
      <c r="E788" s="215"/>
      <c r="F788" s="215"/>
      <c r="G788" s="201"/>
      <c r="H788" s="201"/>
      <c r="I788" s="201"/>
      <c r="J788" s="201"/>
      <c r="K788" s="201"/>
      <c r="L788" s="201"/>
      <c r="M788" s="469">
        <v>0</v>
      </c>
      <c r="N788" s="469">
        <v>0</v>
      </c>
      <c r="O788" s="469">
        <v>0</v>
      </c>
      <c r="P788" s="469">
        <v>0</v>
      </c>
      <c r="Q788" s="469">
        <v>0</v>
      </c>
      <c r="R788" s="469">
        <v>0</v>
      </c>
      <c r="S788" s="469">
        <v>0</v>
      </c>
      <c r="T788" s="469">
        <v>0</v>
      </c>
      <c r="U788" s="469">
        <v>0</v>
      </c>
      <c r="V788" s="469">
        <v>0</v>
      </c>
      <c r="X788" s="986"/>
    </row>
    <row r="789" spans="3:24" outlineLevel="1">
      <c r="C789" s="214" t="s">
        <v>807</v>
      </c>
      <c r="D789" s="201"/>
      <c r="E789" s="215"/>
      <c r="F789" s="215"/>
      <c r="G789" s="201"/>
      <c r="H789" s="201"/>
      <c r="I789" s="201"/>
      <c r="J789" s="201"/>
      <c r="K789" s="201"/>
      <c r="L789" s="201"/>
      <c r="M789" s="469">
        <v>0</v>
      </c>
      <c r="N789" s="469">
        <v>0</v>
      </c>
      <c r="O789" s="469">
        <v>0</v>
      </c>
      <c r="P789" s="469">
        <v>0</v>
      </c>
      <c r="Q789" s="469">
        <v>0</v>
      </c>
      <c r="R789" s="469">
        <v>0</v>
      </c>
      <c r="S789" s="469">
        <v>0</v>
      </c>
      <c r="T789" s="469">
        <v>0</v>
      </c>
      <c r="U789" s="469">
        <v>0</v>
      </c>
      <c r="V789" s="469">
        <v>0</v>
      </c>
      <c r="X789" s="986"/>
    </row>
    <row r="790" spans="3:24" outlineLevel="1">
      <c r="C790" s="214" t="s">
        <v>808</v>
      </c>
      <c r="D790" s="201"/>
      <c r="E790" s="215"/>
      <c r="F790" s="215"/>
      <c r="G790" s="201"/>
      <c r="H790" s="201"/>
      <c r="I790" s="201"/>
      <c r="J790" s="201"/>
      <c r="K790" s="201"/>
      <c r="L790" s="201"/>
      <c r="M790" s="469">
        <v>0</v>
      </c>
      <c r="N790" s="469">
        <v>0</v>
      </c>
      <c r="O790" s="469">
        <v>0</v>
      </c>
      <c r="P790" s="469">
        <v>0</v>
      </c>
      <c r="Q790" s="469">
        <v>0</v>
      </c>
      <c r="R790" s="469">
        <v>0</v>
      </c>
      <c r="S790" s="469">
        <v>0</v>
      </c>
      <c r="T790" s="469">
        <v>0</v>
      </c>
      <c r="U790" s="469">
        <v>0</v>
      </c>
      <c r="V790" s="469">
        <v>0</v>
      </c>
      <c r="X790" s="986"/>
    </row>
    <row r="791" spans="3:24" outlineLevel="1">
      <c r="C791" s="214" t="s">
        <v>809</v>
      </c>
      <c r="D791" s="201"/>
      <c r="E791" s="215"/>
      <c r="F791" s="215"/>
      <c r="G791" s="201"/>
      <c r="H791" s="201"/>
      <c r="I791" s="201"/>
      <c r="J791" s="201"/>
      <c r="K791" s="201"/>
      <c r="L791" s="201"/>
      <c r="M791" s="469">
        <v>-55.538800250000001</v>
      </c>
      <c r="N791" s="469">
        <v>-55.538800250000001</v>
      </c>
      <c r="O791" s="469">
        <v>-55.538800250000001</v>
      </c>
      <c r="P791" s="469">
        <v>-55.538800250000001</v>
      </c>
      <c r="Q791" s="469">
        <v>-55.538800250000001</v>
      </c>
      <c r="R791" s="469">
        <v>-55.538800250000001</v>
      </c>
      <c r="S791" s="469">
        <v>-55.538800250000001</v>
      </c>
      <c r="T791" s="469">
        <v>-55.538800250000001</v>
      </c>
      <c r="U791" s="469">
        <v>-55.538800250000001</v>
      </c>
      <c r="V791" s="469">
        <v>-55.538800250000001</v>
      </c>
      <c r="X791" s="986"/>
    </row>
    <row r="792" spans="3:24" outlineLevel="1">
      <c r="C792" s="214" t="s">
        <v>810</v>
      </c>
      <c r="D792" s="201"/>
      <c r="E792" s="217"/>
      <c r="F792" s="217"/>
      <c r="G792" s="201"/>
      <c r="H792" s="201"/>
      <c r="I792" s="201"/>
      <c r="J792" s="201"/>
      <c r="K792" s="201"/>
      <c r="L792" s="201"/>
      <c r="M792" s="469">
        <v>-37.00412086</v>
      </c>
      <c r="N792" s="469">
        <v>-37.00412086</v>
      </c>
      <c r="O792" s="469">
        <v>-37.00412086</v>
      </c>
      <c r="P792" s="469">
        <v>-37.00412086</v>
      </c>
      <c r="Q792" s="469">
        <v>-37.00412086</v>
      </c>
      <c r="R792" s="469">
        <v>-37.00412086</v>
      </c>
      <c r="S792" s="469">
        <v>-37.00412086</v>
      </c>
      <c r="T792" s="469">
        <v>-37.00412086</v>
      </c>
      <c r="U792" s="469">
        <v>-37.00412086</v>
      </c>
      <c r="V792" s="469">
        <v>-37.00412086</v>
      </c>
      <c r="X792" s="986"/>
    </row>
    <row r="793" spans="3:24" outlineLevel="1">
      <c r="C793" s="201" t="s">
        <v>811</v>
      </c>
      <c r="D793" s="217"/>
      <c r="E793" s="217"/>
      <c r="F793" s="201"/>
      <c r="G793" s="201"/>
      <c r="H793" s="201"/>
      <c r="I793" s="201"/>
      <c r="J793" s="201"/>
      <c r="K793" s="201"/>
      <c r="L793" s="201"/>
      <c r="M793" s="469">
        <v>0</v>
      </c>
      <c r="N793" s="469">
        <v>0</v>
      </c>
      <c r="O793" s="469">
        <v>0</v>
      </c>
      <c r="P793" s="469">
        <v>0</v>
      </c>
      <c r="Q793" s="469">
        <v>0</v>
      </c>
      <c r="R793" s="469">
        <v>0</v>
      </c>
      <c r="S793" s="469">
        <v>0</v>
      </c>
      <c r="T793" s="469">
        <v>0</v>
      </c>
      <c r="U793" s="469">
        <v>0</v>
      </c>
      <c r="V793" s="469">
        <v>0</v>
      </c>
      <c r="X793" s="986"/>
    </row>
    <row r="794" spans="3:24" outlineLevel="1">
      <c r="C794" s="405" t="s">
        <v>812</v>
      </c>
      <c r="D794" s="406"/>
      <c r="E794" s="407"/>
      <c r="F794" s="407"/>
      <c r="G794" s="201"/>
      <c r="H794" s="201"/>
      <c r="I794" s="201"/>
      <c r="J794" s="201"/>
      <c r="K794" s="201"/>
      <c r="L794" s="201"/>
      <c r="M794" s="469">
        <v>0.12464473</v>
      </c>
      <c r="N794" s="469">
        <v>0.12464473</v>
      </c>
      <c r="O794" s="469">
        <v>0.12464473</v>
      </c>
      <c r="P794" s="469">
        <v>0.12464473</v>
      </c>
      <c r="Q794" s="469">
        <v>0.12464473</v>
      </c>
      <c r="R794" s="469">
        <v>0.12464473</v>
      </c>
      <c r="S794" s="469">
        <v>0.12464473</v>
      </c>
      <c r="T794" s="469">
        <v>0.12464473</v>
      </c>
      <c r="U794" s="469">
        <v>0.12464473</v>
      </c>
      <c r="V794" s="469">
        <v>0.12464473</v>
      </c>
      <c r="X794" s="986"/>
    </row>
    <row r="795" spans="3:24" outlineLevel="1">
      <c r="C795" s="405" t="s">
        <v>813</v>
      </c>
      <c r="D795" s="406"/>
      <c r="E795" s="407"/>
      <c r="F795" s="407"/>
      <c r="G795" s="201"/>
      <c r="H795" s="201"/>
      <c r="I795" s="201"/>
      <c r="J795" s="201"/>
      <c r="K795" s="201"/>
      <c r="L795" s="201"/>
      <c r="M795" s="469">
        <v>1.5</v>
      </c>
      <c r="N795" s="469">
        <v>0</v>
      </c>
      <c r="O795" s="469">
        <v>0</v>
      </c>
      <c r="P795" s="469">
        <v>0</v>
      </c>
      <c r="Q795" s="469">
        <v>0</v>
      </c>
      <c r="R795" s="469">
        <v>0</v>
      </c>
      <c r="S795" s="469">
        <v>0</v>
      </c>
      <c r="T795" s="469">
        <v>0</v>
      </c>
      <c r="U795" s="469">
        <v>0</v>
      </c>
      <c r="V795" s="469">
        <v>0</v>
      </c>
      <c r="X795" s="986"/>
    </row>
    <row r="796" spans="3:24" outlineLevel="1">
      <c r="C796" s="405" t="s">
        <v>814</v>
      </c>
      <c r="D796" s="406"/>
      <c r="E796" s="407"/>
      <c r="F796" s="407"/>
      <c r="G796" s="201"/>
      <c r="H796" s="201"/>
      <c r="I796" s="201"/>
      <c r="J796" s="201"/>
      <c r="K796" s="201"/>
      <c r="L796" s="201"/>
      <c r="M796" s="469">
        <v>0</v>
      </c>
      <c r="N796" s="469">
        <v>0</v>
      </c>
      <c r="O796" s="469">
        <v>0</v>
      </c>
      <c r="P796" s="469">
        <v>0</v>
      </c>
      <c r="Q796" s="469">
        <v>0</v>
      </c>
      <c r="R796" s="469">
        <v>0</v>
      </c>
      <c r="S796" s="469">
        <v>0</v>
      </c>
      <c r="T796" s="469">
        <v>0</v>
      </c>
      <c r="U796" s="469">
        <v>0</v>
      </c>
      <c r="V796" s="469">
        <v>0</v>
      </c>
      <c r="X796" s="986"/>
    </row>
    <row r="797" spans="3:24" outlineLevel="1">
      <c r="C797" s="405" t="s">
        <v>814</v>
      </c>
      <c r="D797" s="406"/>
      <c r="E797" s="407"/>
      <c r="F797" s="407"/>
      <c r="G797" s="201"/>
      <c r="H797" s="201"/>
      <c r="I797" s="201"/>
      <c r="J797" s="201"/>
      <c r="K797" s="201"/>
      <c r="L797" s="201"/>
      <c r="M797" s="469">
        <v>0</v>
      </c>
      <c r="N797" s="469">
        <v>0</v>
      </c>
      <c r="O797" s="469">
        <v>0</v>
      </c>
      <c r="P797" s="469">
        <v>0</v>
      </c>
      <c r="Q797" s="469">
        <v>0</v>
      </c>
      <c r="R797" s="469">
        <v>0</v>
      </c>
      <c r="S797" s="469">
        <v>0</v>
      </c>
      <c r="T797" s="469">
        <v>0</v>
      </c>
      <c r="U797" s="469">
        <v>0</v>
      </c>
      <c r="V797" s="469">
        <v>0</v>
      </c>
      <c r="X797" s="986"/>
    </row>
    <row r="798" spans="3:24" outlineLevel="1">
      <c r="C798" s="405" t="s">
        <v>814</v>
      </c>
      <c r="D798" s="406"/>
      <c r="E798" s="407"/>
      <c r="F798" s="407"/>
      <c r="G798" s="201"/>
      <c r="H798" s="201"/>
      <c r="I798" s="201"/>
      <c r="J798" s="201"/>
      <c r="K798" s="201"/>
      <c r="L798" s="201"/>
      <c r="M798" s="469">
        <v>0</v>
      </c>
      <c r="N798" s="469">
        <v>0</v>
      </c>
      <c r="O798" s="469">
        <v>0</v>
      </c>
      <c r="P798" s="469">
        <v>0</v>
      </c>
      <c r="Q798" s="469">
        <v>0</v>
      </c>
      <c r="R798" s="469">
        <v>0</v>
      </c>
      <c r="S798" s="469">
        <v>0</v>
      </c>
      <c r="T798" s="469">
        <v>0</v>
      </c>
      <c r="U798" s="469">
        <v>0</v>
      </c>
      <c r="V798" s="469">
        <v>0</v>
      </c>
      <c r="X798" s="986"/>
    </row>
    <row r="799" spans="3:24" outlineLevel="1">
      <c r="C799" s="405" t="s">
        <v>814</v>
      </c>
      <c r="D799" s="406"/>
      <c r="E799" s="407"/>
      <c r="F799" s="407"/>
      <c r="G799" s="201"/>
      <c r="H799" s="201"/>
      <c r="I799" s="201"/>
      <c r="J799" s="201"/>
      <c r="K799" s="201"/>
      <c r="L799" s="201"/>
      <c r="M799" s="469">
        <v>0</v>
      </c>
      <c r="N799" s="469">
        <v>0</v>
      </c>
      <c r="O799" s="469">
        <v>0</v>
      </c>
      <c r="P799" s="469">
        <v>0</v>
      </c>
      <c r="Q799" s="469">
        <v>0</v>
      </c>
      <c r="R799" s="469">
        <v>0</v>
      </c>
      <c r="S799" s="469">
        <v>0</v>
      </c>
      <c r="T799" s="469">
        <v>0</v>
      </c>
      <c r="U799" s="469">
        <v>0</v>
      </c>
      <c r="V799" s="469">
        <v>0</v>
      </c>
      <c r="X799" s="986"/>
    </row>
    <row r="800" spans="3:24" outlineLevel="1">
      <c r="C800" s="405" t="s">
        <v>814</v>
      </c>
      <c r="D800" s="406"/>
      <c r="E800" s="407"/>
      <c r="F800" s="407"/>
      <c r="G800" s="201"/>
      <c r="H800" s="201"/>
      <c r="I800" s="201"/>
      <c r="J800" s="201"/>
      <c r="K800" s="201"/>
      <c r="L800" s="201"/>
      <c r="M800" s="469">
        <v>0</v>
      </c>
      <c r="N800" s="469">
        <v>0</v>
      </c>
      <c r="O800" s="469">
        <v>0</v>
      </c>
      <c r="P800" s="469">
        <v>0</v>
      </c>
      <c r="Q800" s="469">
        <v>0</v>
      </c>
      <c r="R800" s="469">
        <v>0</v>
      </c>
      <c r="S800" s="469">
        <v>0</v>
      </c>
      <c r="T800" s="469">
        <v>0</v>
      </c>
      <c r="U800" s="469">
        <v>0</v>
      </c>
      <c r="V800" s="469">
        <v>0</v>
      </c>
      <c r="X800" s="986"/>
    </row>
    <row r="801" spans="2:24" outlineLevel="1">
      <c r="C801" s="216" t="s">
        <v>815</v>
      </c>
      <c r="D801" s="201"/>
      <c r="E801" s="218"/>
      <c r="F801" s="218"/>
      <c r="G801" s="201"/>
      <c r="H801" s="201"/>
      <c r="I801" s="201"/>
      <c r="J801" s="201"/>
      <c r="K801" s="201"/>
      <c r="L801" s="201"/>
      <c r="M801" s="474">
        <f>SUM(M785:M800)</f>
        <v>246.88902462000004</v>
      </c>
      <c r="N801" s="475">
        <f t="shared" ref="N801:V801" si="58">SUM(N785:N800)</f>
        <v>388.9547796727116</v>
      </c>
      <c r="O801" s="475">
        <f t="shared" si="58"/>
        <v>257.09896496516353</v>
      </c>
      <c r="P801" s="475">
        <f t="shared" si="58"/>
        <v>178.54560113404369</v>
      </c>
      <c r="Q801" s="475">
        <f t="shared" si="58"/>
        <v>173.569254281025</v>
      </c>
      <c r="R801" s="475">
        <f t="shared" si="58"/>
        <v>208.43190707380467</v>
      </c>
      <c r="S801" s="475">
        <f t="shared" si="58"/>
        <v>159.15876967761767</v>
      </c>
      <c r="T801" s="476">
        <f t="shared" si="58"/>
        <v>149.18444872293489</v>
      </c>
      <c r="U801" s="477">
        <f t="shared" si="58"/>
        <v>142.06997557860421</v>
      </c>
      <c r="V801" s="475">
        <f t="shared" si="58"/>
        <v>121.12888614032707</v>
      </c>
      <c r="X801" s="782">
        <f>SUM(X785:X793)</f>
        <v>0</v>
      </c>
    </row>
    <row r="802" spans="2:24" outlineLevel="1">
      <c r="C802" s="223"/>
      <c r="D802" s="224"/>
      <c r="E802" s="225"/>
      <c r="F802" s="225"/>
      <c r="G802" s="224"/>
      <c r="H802" s="224"/>
      <c r="I802" s="224"/>
      <c r="J802" s="224"/>
      <c r="K802" s="224"/>
      <c r="L802" s="224"/>
      <c r="M802" s="159"/>
      <c r="N802" s="159"/>
      <c r="O802" s="159"/>
      <c r="P802" s="159"/>
      <c r="Q802" s="159"/>
      <c r="R802" s="159"/>
      <c r="S802" s="159"/>
      <c r="T802" s="159"/>
      <c r="U802" s="297"/>
      <c r="V802" s="159"/>
      <c r="X802" s="159"/>
    </row>
    <row r="803" spans="2:24" outlineLevel="1">
      <c r="C803" s="226" t="s">
        <v>816</v>
      </c>
      <c r="D803" s="227"/>
      <c r="E803" s="227"/>
      <c r="F803" s="228"/>
      <c r="G803" s="227"/>
      <c r="H803" s="227"/>
      <c r="I803" s="227"/>
      <c r="J803" s="227"/>
      <c r="K803" s="227"/>
      <c r="L803" s="227"/>
      <c r="M803" s="159"/>
      <c r="N803" s="159"/>
      <c r="O803" s="159"/>
      <c r="P803" s="159"/>
      <c r="Q803" s="159"/>
      <c r="R803" s="159"/>
      <c r="S803" s="159"/>
      <c r="T803" s="159"/>
      <c r="U803" s="297"/>
      <c r="V803" s="159"/>
      <c r="X803" s="159"/>
    </row>
    <row r="804" spans="2:24" outlineLevel="1">
      <c r="C804" s="214" t="s">
        <v>817</v>
      </c>
      <c r="D804" s="201"/>
      <c r="E804" s="215"/>
      <c r="F804" s="215"/>
      <c r="G804" s="201"/>
      <c r="H804" s="201"/>
      <c r="I804" s="201"/>
      <c r="J804" s="201"/>
      <c r="K804" s="201"/>
      <c r="L804" s="215"/>
      <c r="M804" s="468">
        <v>0</v>
      </c>
      <c r="N804" s="468">
        <v>0</v>
      </c>
      <c r="O804" s="468">
        <v>0</v>
      </c>
      <c r="P804" s="468">
        <v>0</v>
      </c>
      <c r="Q804" s="468">
        <v>0</v>
      </c>
      <c r="R804" s="468">
        <v>0</v>
      </c>
      <c r="S804" s="468">
        <v>0</v>
      </c>
      <c r="T804" s="468">
        <v>0</v>
      </c>
      <c r="U804" s="468">
        <v>0</v>
      </c>
      <c r="V804" s="468">
        <v>0</v>
      </c>
      <c r="X804" s="986"/>
    </row>
    <row r="805" spans="2:24" outlineLevel="1">
      <c r="C805" s="215" t="s">
        <v>818</v>
      </c>
      <c r="D805" s="201"/>
      <c r="E805" s="215"/>
      <c r="F805" s="215"/>
      <c r="G805" s="201"/>
      <c r="H805" s="201"/>
      <c r="I805" s="201"/>
      <c r="J805" s="201"/>
      <c r="K805" s="201"/>
      <c r="L805" s="215"/>
      <c r="M805" s="468">
        <v>0</v>
      </c>
      <c r="N805" s="468">
        <v>0</v>
      </c>
      <c r="O805" s="468">
        <v>0</v>
      </c>
      <c r="P805" s="468">
        <v>0</v>
      </c>
      <c r="Q805" s="468">
        <v>0</v>
      </c>
      <c r="R805" s="468">
        <v>0</v>
      </c>
      <c r="S805" s="468">
        <v>0</v>
      </c>
      <c r="T805" s="468">
        <v>0</v>
      </c>
      <c r="U805" s="468">
        <v>0</v>
      </c>
      <c r="V805" s="468">
        <v>0</v>
      </c>
      <c r="X805" s="986"/>
    </row>
    <row r="806" spans="2:24" outlineLevel="1">
      <c r="C806" s="215" t="s">
        <v>819</v>
      </c>
      <c r="D806" s="201"/>
      <c r="E806" s="215"/>
      <c r="F806" s="215"/>
      <c r="G806" s="201"/>
      <c r="H806" s="201"/>
      <c r="I806" s="201"/>
      <c r="J806" s="201"/>
      <c r="K806" s="201"/>
      <c r="L806" s="215"/>
      <c r="M806" s="468">
        <v>0</v>
      </c>
      <c r="N806" s="468">
        <v>0</v>
      </c>
      <c r="O806" s="468">
        <v>0</v>
      </c>
      <c r="P806" s="468">
        <v>0</v>
      </c>
      <c r="Q806" s="468">
        <v>0</v>
      </c>
      <c r="R806" s="468">
        <v>0</v>
      </c>
      <c r="S806" s="468">
        <v>0</v>
      </c>
      <c r="T806" s="468">
        <v>0</v>
      </c>
      <c r="U806" s="468">
        <v>0</v>
      </c>
      <c r="V806" s="468">
        <v>0</v>
      </c>
      <c r="X806" s="986"/>
    </row>
    <row r="807" spans="2:24" outlineLevel="1">
      <c r="B807" s="150" t="s">
        <v>562</v>
      </c>
      <c r="C807" s="214" t="s">
        <v>820</v>
      </c>
      <c r="D807" s="201"/>
      <c r="E807" s="215"/>
      <c r="F807" s="215"/>
      <c r="G807" s="201"/>
      <c r="H807" s="201"/>
      <c r="I807" s="201"/>
      <c r="J807" s="201"/>
      <c r="K807" s="201"/>
      <c r="L807" s="215"/>
      <c r="M807" s="631">
        <f t="shared" ref="M807:V807" si="59">M252</f>
        <v>0</v>
      </c>
      <c r="N807" s="632">
        <f t="shared" si="59"/>
        <v>0</v>
      </c>
      <c r="O807" s="632">
        <f t="shared" si="59"/>
        <v>0</v>
      </c>
      <c r="P807" s="632">
        <f t="shared" si="59"/>
        <v>0</v>
      </c>
      <c r="Q807" s="632">
        <f t="shared" si="59"/>
        <v>0</v>
      </c>
      <c r="R807" s="632">
        <f t="shared" si="59"/>
        <v>0</v>
      </c>
      <c r="S807" s="632">
        <f t="shared" si="59"/>
        <v>0</v>
      </c>
      <c r="T807" s="633">
        <f t="shared" si="59"/>
        <v>0</v>
      </c>
      <c r="U807" s="634">
        <f t="shared" si="59"/>
        <v>0</v>
      </c>
      <c r="V807" s="632">
        <f t="shared" si="59"/>
        <v>0</v>
      </c>
      <c r="X807" s="783">
        <f>X252</f>
        <v>0</v>
      </c>
    </row>
    <row r="808" spans="2:24" outlineLevel="1">
      <c r="C808" s="216" t="s">
        <v>821</v>
      </c>
      <c r="D808" s="201"/>
      <c r="E808" s="215"/>
      <c r="F808" s="215"/>
      <c r="G808" s="201"/>
      <c r="H808" s="201"/>
      <c r="I808" s="201"/>
      <c r="J808" s="201"/>
      <c r="K808" s="201"/>
      <c r="L808" s="215"/>
      <c r="M808" s="478">
        <f t="shared" ref="M808:X808" si="60">SUM(M804:M807)</f>
        <v>0</v>
      </c>
      <c r="N808" s="479">
        <f t="shared" si="60"/>
        <v>0</v>
      </c>
      <c r="O808" s="479">
        <f t="shared" si="60"/>
        <v>0</v>
      </c>
      <c r="P808" s="479">
        <f t="shared" si="60"/>
        <v>0</v>
      </c>
      <c r="Q808" s="479">
        <f t="shared" si="60"/>
        <v>0</v>
      </c>
      <c r="R808" s="479">
        <f t="shared" si="60"/>
        <v>0</v>
      </c>
      <c r="S808" s="479">
        <f t="shared" si="60"/>
        <v>0</v>
      </c>
      <c r="T808" s="480">
        <f t="shared" si="60"/>
        <v>0</v>
      </c>
      <c r="U808" s="481">
        <f t="shared" si="60"/>
        <v>0</v>
      </c>
      <c r="V808" s="479">
        <f t="shared" si="60"/>
        <v>0</v>
      </c>
      <c r="X808" s="782">
        <f t="shared" si="60"/>
        <v>0</v>
      </c>
    </row>
    <row r="809" spans="2:24" outlineLevel="1">
      <c r="C809" s="214" t="s">
        <v>822</v>
      </c>
      <c r="D809" s="201"/>
      <c r="E809" s="215"/>
      <c r="F809" s="215"/>
      <c r="G809" s="201"/>
      <c r="H809" s="201"/>
      <c r="I809" s="201"/>
      <c r="J809" s="201"/>
      <c r="K809" s="201"/>
      <c r="L809" s="215"/>
      <c r="M809" s="469">
        <v>-2.0000000400000002</v>
      </c>
      <c r="N809" s="469">
        <v>-2.0000000400000002</v>
      </c>
      <c r="O809" s="469">
        <v>-2.0000000400000002</v>
      </c>
      <c r="P809" s="469">
        <v>-2.0000000400000002</v>
      </c>
      <c r="Q809" s="469">
        <v>-2.0000000400000002</v>
      </c>
      <c r="R809" s="469">
        <v>-2.0000000400000002</v>
      </c>
      <c r="S809" s="469">
        <v>-2.0000000400000002</v>
      </c>
      <c r="T809" s="469">
        <v>-2.0000000400000002</v>
      </c>
      <c r="U809" s="469">
        <v>-2.0000000400000002</v>
      </c>
      <c r="V809" s="469">
        <v>-2.0000000400000002</v>
      </c>
      <c r="X809" s="986"/>
    </row>
    <row r="810" spans="2:24" outlineLevel="1">
      <c r="C810" s="214" t="s">
        <v>823</v>
      </c>
      <c r="D810" s="201"/>
      <c r="E810" s="215"/>
      <c r="F810" s="215"/>
      <c r="G810" s="201"/>
      <c r="H810" s="201"/>
      <c r="I810" s="201"/>
      <c r="J810" s="201"/>
      <c r="K810" s="201"/>
      <c r="L810" s="215"/>
      <c r="M810" s="469">
        <v>-1.5079340000000001</v>
      </c>
      <c r="N810" s="469">
        <v>0</v>
      </c>
      <c r="O810" s="469">
        <v>0</v>
      </c>
      <c r="P810" s="469">
        <v>0</v>
      </c>
      <c r="Q810" s="469">
        <v>0</v>
      </c>
      <c r="R810" s="469">
        <v>0</v>
      </c>
      <c r="S810" s="469">
        <v>0</v>
      </c>
      <c r="T810" s="469">
        <v>0</v>
      </c>
      <c r="U810" s="469">
        <v>0</v>
      </c>
      <c r="V810" s="469">
        <v>0</v>
      </c>
      <c r="X810" s="986"/>
    </row>
    <row r="811" spans="2:24" outlineLevel="1">
      <c r="C811" s="214" t="s">
        <v>824</v>
      </c>
      <c r="D811" s="201"/>
      <c r="E811" s="217"/>
      <c r="F811" s="217"/>
      <c r="G811" s="201"/>
      <c r="H811" s="201"/>
      <c r="I811" s="201"/>
      <c r="J811" s="201"/>
      <c r="K811" s="201"/>
      <c r="L811" s="201"/>
      <c r="M811" s="469">
        <v>0</v>
      </c>
      <c r="N811" s="469">
        <v>0</v>
      </c>
      <c r="O811" s="469">
        <v>0</v>
      </c>
      <c r="P811" s="469">
        <v>0</v>
      </c>
      <c r="Q811" s="469">
        <v>0</v>
      </c>
      <c r="R811" s="469">
        <v>0</v>
      </c>
      <c r="S811" s="469">
        <v>0</v>
      </c>
      <c r="T811" s="469">
        <v>0</v>
      </c>
      <c r="U811" s="469">
        <v>0</v>
      </c>
      <c r="V811" s="469">
        <v>0</v>
      </c>
      <c r="X811" s="986"/>
    </row>
    <row r="812" spans="2:24" outlineLevel="1">
      <c r="C812" s="405" t="s">
        <v>802</v>
      </c>
      <c r="D812" s="406"/>
      <c r="E812" s="407"/>
      <c r="F812" s="407"/>
      <c r="G812" s="201"/>
      <c r="H812" s="201"/>
      <c r="I812" s="201"/>
      <c r="J812" s="201"/>
      <c r="K812" s="201"/>
      <c r="L812" s="215"/>
      <c r="M812" s="469">
        <v>0</v>
      </c>
      <c r="N812" s="469">
        <v>0</v>
      </c>
      <c r="O812" s="469">
        <v>0</v>
      </c>
      <c r="P812" s="469">
        <v>0</v>
      </c>
      <c r="Q812" s="469">
        <v>0</v>
      </c>
      <c r="R812" s="469">
        <v>0</v>
      </c>
      <c r="S812" s="469">
        <v>0</v>
      </c>
      <c r="T812" s="469">
        <v>0</v>
      </c>
      <c r="U812" s="469">
        <v>0</v>
      </c>
      <c r="V812" s="469">
        <v>0</v>
      </c>
      <c r="X812" s="986"/>
    </row>
    <row r="813" spans="2:24" outlineLevel="1">
      <c r="C813" s="216" t="s">
        <v>825</v>
      </c>
      <c r="D813" s="201"/>
      <c r="E813" s="215"/>
      <c r="F813" s="215"/>
      <c r="G813" s="201"/>
      <c r="H813" s="201"/>
      <c r="I813" s="201"/>
      <c r="J813" s="201"/>
      <c r="K813" s="201"/>
      <c r="L813" s="215"/>
      <c r="M813" s="474">
        <f>SUM(M808:M812)</f>
        <v>-3.5079340400000003</v>
      </c>
      <c r="N813" s="475">
        <f t="shared" ref="N813:X813" si="61">SUM(N808:N812)</f>
        <v>-2.0000000400000002</v>
      </c>
      <c r="O813" s="475">
        <f t="shared" si="61"/>
        <v>-2.0000000400000002</v>
      </c>
      <c r="P813" s="475">
        <f t="shared" si="61"/>
        <v>-2.0000000400000002</v>
      </c>
      <c r="Q813" s="475">
        <f t="shared" si="61"/>
        <v>-2.0000000400000002</v>
      </c>
      <c r="R813" s="475">
        <f t="shared" si="61"/>
        <v>-2.0000000400000002</v>
      </c>
      <c r="S813" s="475">
        <f t="shared" si="61"/>
        <v>-2.0000000400000002</v>
      </c>
      <c r="T813" s="476">
        <f t="shared" si="61"/>
        <v>-2.0000000400000002</v>
      </c>
      <c r="U813" s="477">
        <f t="shared" si="61"/>
        <v>-2.0000000400000002</v>
      </c>
      <c r="V813" s="475">
        <f t="shared" si="61"/>
        <v>-2.0000000400000002</v>
      </c>
      <c r="X813" s="782">
        <f t="shared" si="61"/>
        <v>0</v>
      </c>
    </row>
    <row r="814" spans="2:24" outlineLevel="1">
      <c r="C814" s="234"/>
      <c r="D814" s="224"/>
      <c r="E814" s="225"/>
      <c r="F814" s="225"/>
      <c r="G814" s="224"/>
      <c r="H814" s="224"/>
      <c r="I814" s="224"/>
      <c r="J814" s="224"/>
      <c r="K814" s="224"/>
      <c r="L814" s="225"/>
      <c r="M814" s="159"/>
      <c r="N814" s="159"/>
      <c r="O814" s="159"/>
      <c r="P814" s="159"/>
      <c r="Q814" s="159"/>
      <c r="R814" s="159"/>
      <c r="S814" s="159"/>
      <c r="T814" s="159"/>
      <c r="U814" s="297"/>
      <c r="V814" s="159"/>
      <c r="X814" s="159"/>
    </row>
    <row r="815" spans="2:24" outlineLevel="1">
      <c r="C815" s="230" t="s">
        <v>826</v>
      </c>
      <c r="D815" s="231"/>
      <c r="E815" s="231"/>
      <c r="F815" s="231"/>
      <c r="G815" s="227"/>
      <c r="H815" s="227"/>
      <c r="I815" s="227"/>
      <c r="J815" s="227"/>
      <c r="K815" s="227"/>
      <c r="L815" s="228"/>
      <c r="U815" s="283"/>
    </row>
    <row r="816" spans="2:24" outlineLevel="1">
      <c r="C816" s="219" t="s">
        <v>827</v>
      </c>
      <c r="D816" s="219"/>
      <c r="E816" s="219"/>
      <c r="F816" s="219"/>
      <c r="G816" s="201"/>
      <c r="H816" s="201"/>
      <c r="I816" s="201"/>
      <c r="J816" s="201"/>
      <c r="K816" s="201"/>
      <c r="L816" s="201"/>
      <c r="M816" s="623">
        <f t="shared" ref="M816:X816" si="62">M801</f>
        <v>246.88902462000004</v>
      </c>
      <c r="N816" s="624">
        <f t="shared" si="62"/>
        <v>388.9547796727116</v>
      </c>
      <c r="O816" s="624">
        <f t="shared" si="62"/>
        <v>257.09896496516353</v>
      </c>
      <c r="P816" s="624">
        <f t="shared" si="62"/>
        <v>178.54560113404369</v>
      </c>
      <c r="Q816" s="624">
        <f t="shared" si="62"/>
        <v>173.569254281025</v>
      </c>
      <c r="R816" s="624">
        <f t="shared" si="62"/>
        <v>208.43190707380467</v>
      </c>
      <c r="S816" s="624">
        <f t="shared" si="62"/>
        <v>159.15876967761767</v>
      </c>
      <c r="T816" s="625">
        <f t="shared" si="62"/>
        <v>149.18444872293489</v>
      </c>
      <c r="U816" s="626">
        <f t="shared" si="62"/>
        <v>142.06997557860421</v>
      </c>
      <c r="V816" s="624">
        <f t="shared" si="62"/>
        <v>121.12888614032707</v>
      </c>
      <c r="X816" s="987">
        <f t="shared" si="62"/>
        <v>0</v>
      </c>
    </row>
    <row r="817" spans="2:24" ht="12.75" customHeight="1" outlineLevel="1">
      <c r="C817" s="219" t="s">
        <v>828</v>
      </c>
      <c r="D817" s="220"/>
      <c r="E817" s="220"/>
      <c r="F817" s="220"/>
      <c r="G817" s="201"/>
      <c r="H817" s="201"/>
      <c r="I817" s="201"/>
      <c r="J817" s="201"/>
      <c r="K817" s="201"/>
      <c r="L817" s="201"/>
      <c r="M817" s="627">
        <f t="shared" ref="M817:X817" si="63">M813</f>
        <v>-3.5079340400000003</v>
      </c>
      <c r="N817" s="628">
        <f t="shared" si="63"/>
        <v>-2.0000000400000002</v>
      </c>
      <c r="O817" s="628">
        <f t="shared" si="63"/>
        <v>-2.0000000400000002</v>
      </c>
      <c r="P817" s="628">
        <f t="shared" si="63"/>
        <v>-2.0000000400000002</v>
      </c>
      <c r="Q817" s="628">
        <f t="shared" si="63"/>
        <v>-2.0000000400000002</v>
      </c>
      <c r="R817" s="628">
        <f t="shared" si="63"/>
        <v>-2.0000000400000002</v>
      </c>
      <c r="S817" s="628">
        <f t="shared" si="63"/>
        <v>-2.0000000400000002</v>
      </c>
      <c r="T817" s="629">
        <f t="shared" si="63"/>
        <v>-2.0000000400000002</v>
      </c>
      <c r="U817" s="630">
        <f t="shared" si="63"/>
        <v>-2.0000000400000002</v>
      </c>
      <c r="V817" s="628">
        <f t="shared" si="63"/>
        <v>-2.0000000400000002</v>
      </c>
      <c r="X817" s="987">
        <f t="shared" si="63"/>
        <v>0</v>
      </c>
    </row>
    <row r="818" spans="2:24" outlineLevel="1">
      <c r="C818" s="219" t="s">
        <v>829</v>
      </c>
      <c r="D818" s="219"/>
      <c r="E818" s="219"/>
      <c r="F818" s="219"/>
      <c r="G818" s="201"/>
      <c r="H818" s="201"/>
      <c r="I818" s="201"/>
      <c r="J818" s="201"/>
      <c r="K818" s="201"/>
      <c r="L818" s="201"/>
      <c r="M818" s="487">
        <f>SUM(M816:M817)</f>
        <v>243.38109058000003</v>
      </c>
      <c r="N818" s="488">
        <f t="shared" ref="N818:X818" si="64">SUM(N816:N817)</f>
        <v>386.95477963271162</v>
      </c>
      <c r="O818" s="488">
        <f t="shared" si="64"/>
        <v>255.09896492516353</v>
      </c>
      <c r="P818" s="488">
        <f t="shared" si="64"/>
        <v>176.54560109404369</v>
      </c>
      <c r="Q818" s="488">
        <f t="shared" si="64"/>
        <v>171.56925424102499</v>
      </c>
      <c r="R818" s="488">
        <f t="shared" si="64"/>
        <v>206.43190703380466</v>
      </c>
      <c r="S818" s="488">
        <f t="shared" si="64"/>
        <v>157.15876963761767</v>
      </c>
      <c r="T818" s="489">
        <f t="shared" si="64"/>
        <v>147.18444868293489</v>
      </c>
      <c r="U818" s="490">
        <f t="shared" si="64"/>
        <v>140.06997553860421</v>
      </c>
      <c r="V818" s="488">
        <f t="shared" si="64"/>
        <v>119.12888610032707</v>
      </c>
      <c r="X818" s="782">
        <f t="shared" si="64"/>
        <v>0</v>
      </c>
    </row>
    <row r="819" spans="2:24" outlineLevel="1">
      <c r="C819" s="224"/>
      <c r="D819" s="224"/>
      <c r="E819" s="224"/>
      <c r="F819" s="224"/>
      <c r="G819" s="224"/>
      <c r="H819" s="224"/>
      <c r="I819" s="224"/>
      <c r="J819" s="224"/>
      <c r="K819" s="224"/>
      <c r="L819" s="224"/>
      <c r="U819" s="283"/>
    </row>
    <row r="820" spans="2:24" outlineLevel="1">
      <c r="B820" s="161"/>
      <c r="C820" s="229" t="s">
        <v>830</v>
      </c>
      <c r="D820" s="229"/>
      <c r="E820" s="227"/>
      <c r="F820" s="227"/>
      <c r="G820" s="227"/>
      <c r="H820" s="227"/>
      <c r="I820" s="227"/>
      <c r="J820" s="227"/>
      <c r="K820" s="227"/>
      <c r="L820" s="227"/>
      <c r="U820" s="283"/>
    </row>
    <row r="821" spans="2:24" outlineLevel="1">
      <c r="B821" s="161"/>
      <c r="C821" s="201" t="s">
        <v>831</v>
      </c>
      <c r="D821" s="201"/>
      <c r="E821" s="201"/>
      <c r="F821" s="201"/>
      <c r="G821" s="201"/>
      <c r="H821" s="201"/>
      <c r="I821" s="201"/>
      <c r="J821" s="201"/>
      <c r="K821" s="201"/>
      <c r="L821" s="201"/>
      <c r="M821" s="575">
        <v>0</v>
      </c>
      <c r="N821" s="575">
        <v>0</v>
      </c>
      <c r="O821" s="575">
        <v>0</v>
      </c>
      <c r="P821" s="575">
        <v>0</v>
      </c>
      <c r="Q821" s="575">
        <v>0</v>
      </c>
      <c r="R821" s="575">
        <v>0</v>
      </c>
      <c r="S821" s="575">
        <v>0</v>
      </c>
      <c r="T821" s="575">
        <v>0</v>
      </c>
      <c r="U821" s="575">
        <v>0</v>
      </c>
      <c r="V821" s="575">
        <v>0</v>
      </c>
    </row>
    <row r="822" spans="2:24" outlineLevel="1">
      <c r="B822" s="161"/>
      <c r="C822" s="201" t="s">
        <v>832</v>
      </c>
      <c r="D822" s="201"/>
      <c r="E822" s="201"/>
      <c r="F822" s="201"/>
      <c r="G822" s="201"/>
      <c r="H822" s="201"/>
      <c r="I822" s="201"/>
      <c r="J822" s="201"/>
      <c r="K822" s="201"/>
      <c r="L822" s="201"/>
      <c r="M822" s="198">
        <f>1-M821</f>
        <v>1</v>
      </c>
      <c r="N822" s="199">
        <f t="shared" ref="N822:V822" si="65">1-N821</f>
        <v>1</v>
      </c>
      <c r="O822" s="199">
        <f t="shared" si="65"/>
        <v>1</v>
      </c>
      <c r="P822" s="199">
        <f t="shared" si="65"/>
        <v>1</v>
      </c>
      <c r="Q822" s="199">
        <f t="shared" si="65"/>
        <v>1</v>
      </c>
      <c r="R822" s="199">
        <f t="shared" si="65"/>
        <v>1</v>
      </c>
      <c r="S822" s="199">
        <f t="shared" si="65"/>
        <v>1</v>
      </c>
      <c r="T822" s="279">
        <f t="shared" si="65"/>
        <v>1</v>
      </c>
      <c r="U822" s="298">
        <f t="shared" si="65"/>
        <v>1</v>
      </c>
      <c r="V822" s="199">
        <f t="shared" si="65"/>
        <v>1</v>
      </c>
    </row>
    <row r="823" spans="2:24" outlineLevel="1">
      <c r="C823" s="224"/>
      <c r="D823" s="224"/>
      <c r="E823" s="224"/>
      <c r="F823" s="224"/>
      <c r="G823" s="224"/>
      <c r="H823" s="224"/>
      <c r="I823" s="224"/>
      <c r="J823" s="224"/>
      <c r="K823" s="224"/>
      <c r="L823" s="224"/>
      <c r="U823" s="283"/>
    </row>
    <row r="824" spans="2:24" outlineLevel="1">
      <c r="C824" s="230" t="s">
        <v>833</v>
      </c>
      <c r="D824" s="231"/>
      <c r="E824" s="231"/>
      <c r="F824" s="231"/>
      <c r="G824" s="227"/>
      <c r="H824" s="227"/>
      <c r="I824" s="227"/>
      <c r="J824" s="227"/>
      <c r="K824" s="227"/>
      <c r="L824" s="227"/>
      <c r="U824" s="283"/>
    </row>
    <row r="825" spans="2:24" outlineLevel="1">
      <c r="C825" s="219" t="s">
        <v>829</v>
      </c>
      <c r="D825" s="219"/>
      <c r="E825" s="219"/>
      <c r="F825" s="219"/>
      <c r="G825" s="201"/>
      <c r="H825" s="201"/>
      <c r="I825" s="201"/>
      <c r="J825" s="201"/>
      <c r="K825" s="201"/>
      <c r="L825" s="201"/>
      <c r="M825" s="623">
        <f t="shared" ref="M825:V825" si="66">M818</f>
        <v>243.38109058000003</v>
      </c>
      <c r="N825" s="624">
        <f t="shared" si="66"/>
        <v>386.95477963271162</v>
      </c>
      <c r="O825" s="624">
        <f t="shared" si="66"/>
        <v>255.09896492516353</v>
      </c>
      <c r="P825" s="624">
        <f t="shared" si="66"/>
        <v>176.54560109404369</v>
      </c>
      <c r="Q825" s="624">
        <f t="shared" si="66"/>
        <v>171.56925424102499</v>
      </c>
      <c r="R825" s="624">
        <f t="shared" si="66"/>
        <v>206.43190703380466</v>
      </c>
      <c r="S825" s="624">
        <f t="shared" si="66"/>
        <v>157.15876963761767</v>
      </c>
      <c r="T825" s="625">
        <f t="shared" si="66"/>
        <v>147.18444868293489</v>
      </c>
      <c r="U825" s="626">
        <f t="shared" si="66"/>
        <v>140.06997553860421</v>
      </c>
      <c r="V825" s="624">
        <f t="shared" si="66"/>
        <v>119.12888610032707</v>
      </c>
    </row>
    <row r="826" spans="2:24" ht="12.75" customHeight="1" outlineLevel="1">
      <c r="C826" s="219" t="s">
        <v>834</v>
      </c>
      <c r="D826" s="220"/>
      <c r="E826" s="220"/>
      <c r="F826" s="220"/>
      <c r="G826" s="201"/>
      <c r="H826" s="201"/>
      <c r="I826" s="201"/>
      <c r="J826" s="201"/>
      <c r="K826" s="201"/>
      <c r="L826" s="201"/>
      <c r="M826" s="469">
        <v>0</v>
      </c>
      <c r="N826" s="469">
        <v>0</v>
      </c>
      <c r="O826" s="469">
        <v>0</v>
      </c>
      <c r="P826" s="469">
        <v>0</v>
      </c>
      <c r="Q826" s="469">
        <v>0</v>
      </c>
      <c r="R826" s="469">
        <v>0</v>
      </c>
      <c r="S826" s="469">
        <v>0</v>
      </c>
      <c r="T826" s="469">
        <v>0</v>
      </c>
      <c r="U826" s="469">
        <v>0</v>
      </c>
      <c r="V826" s="469">
        <v>0</v>
      </c>
    </row>
    <row r="827" spans="2:24" ht="12.75" customHeight="1" outlineLevel="1">
      <c r="C827" s="219" t="s">
        <v>835</v>
      </c>
      <c r="D827" s="220"/>
      <c r="E827" s="220"/>
      <c r="F827" s="220"/>
      <c r="G827" s="201"/>
      <c r="H827" s="201"/>
      <c r="I827" s="201"/>
      <c r="J827" s="201"/>
      <c r="K827" s="201"/>
      <c r="L827" s="201"/>
      <c r="M827" s="469">
        <v>37.00412086</v>
      </c>
      <c r="N827" s="469">
        <v>37.00412086</v>
      </c>
      <c r="O827" s="469">
        <v>37.00412086</v>
      </c>
      <c r="P827" s="469">
        <v>37.00412086</v>
      </c>
      <c r="Q827" s="469">
        <v>37.00412086</v>
      </c>
      <c r="R827" s="469">
        <v>37.00412086</v>
      </c>
      <c r="S827" s="469">
        <v>37.00412086</v>
      </c>
      <c r="T827" s="469">
        <v>37.00412086</v>
      </c>
      <c r="U827" s="469">
        <v>37.00412086</v>
      </c>
      <c r="V827" s="469">
        <v>37.00412086</v>
      </c>
    </row>
    <row r="828" spans="2:24" ht="12.75" customHeight="1" outlineLevel="1">
      <c r="C828" s="219" t="s">
        <v>836</v>
      </c>
      <c r="D828" s="220"/>
      <c r="E828" s="220"/>
      <c r="F828" s="220"/>
      <c r="G828" s="201"/>
      <c r="H828" s="201"/>
      <c r="I828" s="201"/>
      <c r="J828" s="201"/>
      <c r="K828" s="201"/>
      <c r="L828" s="201"/>
      <c r="M828" s="469">
        <v>0</v>
      </c>
      <c r="N828" s="469">
        <v>0</v>
      </c>
      <c r="O828" s="469">
        <v>0</v>
      </c>
      <c r="P828" s="469">
        <v>0</v>
      </c>
      <c r="Q828" s="469">
        <v>0</v>
      </c>
      <c r="R828" s="469">
        <v>0</v>
      </c>
      <c r="S828" s="469">
        <v>0</v>
      </c>
      <c r="T828" s="469">
        <v>0</v>
      </c>
      <c r="U828" s="469">
        <v>0</v>
      </c>
      <c r="V828" s="469">
        <v>0</v>
      </c>
    </row>
    <row r="829" spans="2:24" ht="12.75" customHeight="1" outlineLevel="1">
      <c r="C829" s="219" t="s">
        <v>837</v>
      </c>
      <c r="D829" s="220"/>
      <c r="E829" s="220"/>
      <c r="F829" s="220"/>
      <c r="G829" s="201"/>
      <c r="H829" s="201"/>
      <c r="I829" s="201"/>
      <c r="J829" s="201"/>
      <c r="K829" s="201"/>
      <c r="L829" s="201"/>
      <c r="M829" s="469">
        <v>0</v>
      </c>
      <c r="N829" s="469">
        <v>0</v>
      </c>
      <c r="O829" s="469">
        <v>0</v>
      </c>
      <c r="P829" s="469">
        <v>0</v>
      </c>
      <c r="Q829" s="469">
        <v>0</v>
      </c>
      <c r="R829" s="469">
        <v>0</v>
      </c>
      <c r="S829" s="469">
        <v>0</v>
      </c>
      <c r="T829" s="469">
        <v>0</v>
      </c>
      <c r="U829" s="469">
        <v>0</v>
      </c>
      <c r="V829" s="469">
        <v>0</v>
      </c>
    </row>
    <row r="830" spans="2:24" ht="12.75" customHeight="1" outlineLevel="1">
      <c r="C830" s="219" t="s">
        <v>838</v>
      </c>
      <c r="D830" s="220"/>
      <c r="E830" s="220"/>
      <c r="F830" s="220"/>
      <c r="G830" s="201"/>
      <c r="H830" s="201"/>
      <c r="I830" s="201"/>
      <c r="J830" s="201"/>
      <c r="K830" s="201"/>
      <c r="L830" s="201"/>
      <c r="M830" s="469">
        <v>-0.3</v>
      </c>
      <c r="N830" s="469">
        <v>-0.30887201341549225</v>
      </c>
      <c r="O830" s="469">
        <v>-0.30887201341549225</v>
      </c>
      <c r="P830" s="469">
        <v>0.24670861892622559</v>
      </c>
      <c r="Q830" s="469">
        <v>3.1927797593110929</v>
      </c>
      <c r="R830" s="469">
        <v>3.1927797593110929</v>
      </c>
      <c r="S830" s="469">
        <v>2.7665528818905187</v>
      </c>
      <c r="T830" s="469">
        <v>1.975804206735321</v>
      </c>
      <c r="U830" s="469">
        <v>2.4378318316185483</v>
      </c>
      <c r="V830" s="469">
        <v>2.6466599920463318</v>
      </c>
    </row>
    <row r="831" spans="2:24" ht="12.75" customHeight="1" outlineLevel="1">
      <c r="C831" s="219" t="s">
        <v>839</v>
      </c>
      <c r="D831" s="220"/>
      <c r="E831" s="220"/>
      <c r="F831" s="220"/>
      <c r="G831" s="201"/>
      <c r="H831" s="201"/>
      <c r="I831" s="201"/>
      <c r="J831" s="201"/>
      <c r="K831" s="201"/>
      <c r="L831" s="201"/>
      <c r="M831" s="469">
        <v>2.0000000400000002</v>
      </c>
      <c r="N831" s="469">
        <v>2.0000000400000002</v>
      </c>
      <c r="O831" s="469">
        <v>2.0000000400000002</v>
      </c>
      <c r="P831" s="469">
        <v>2.0000000400000002</v>
      </c>
      <c r="Q831" s="469">
        <v>2.0000000400000002</v>
      </c>
      <c r="R831" s="469">
        <v>2.0000000400000002</v>
      </c>
      <c r="S831" s="469">
        <v>2.0000000400000002</v>
      </c>
      <c r="T831" s="469">
        <v>2.0000000400000002</v>
      </c>
      <c r="U831" s="469">
        <v>2.0000000400000002</v>
      </c>
      <c r="V831" s="469">
        <v>2.0000000400000002</v>
      </c>
    </row>
    <row r="832" spans="2:24" ht="12.75" customHeight="1" outlineLevel="1">
      <c r="C832" s="219" t="s">
        <v>840</v>
      </c>
      <c r="D832" s="220"/>
      <c r="E832" s="220"/>
      <c r="F832" s="220"/>
      <c r="G832" s="201"/>
      <c r="H832" s="201"/>
      <c r="I832" s="201"/>
      <c r="J832" s="201"/>
      <c r="K832" s="201"/>
      <c r="L832" s="201"/>
      <c r="M832" s="469">
        <v>0</v>
      </c>
      <c r="N832" s="469">
        <v>0</v>
      </c>
      <c r="O832" s="469">
        <v>0</v>
      </c>
      <c r="P832" s="469">
        <v>0</v>
      </c>
      <c r="Q832" s="469">
        <v>0</v>
      </c>
      <c r="R832" s="469">
        <v>0</v>
      </c>
      <c r="S832" s="469">
        <v>0</v>
      </c>
      <c r="T832" s="469">
        <v>0</v>
      </c>
      <c r="U832" s="469">
        <v>0</v>
      </c>
      <c r="V832" s="469">
        <v>0</v>
      </c>
    </row>
    <row r="833" spans="3:22" ht="12.75" customHeight="1" outlineLevel="1">
      <c r="C833" s="219" t="s">
        <v>841</v>
      </c>
      <c r="D833" s="220"/>
      <c r="E833" s="220"/>
      <c r="F833" s="220"/>
      <c r="G833" s="201"/>
      <c r="H833" s="201"/>
      <c r="I833" s="201"/>
      <c r="J833" s="201"/>
      <c r="K833" s="201"/>
      <c r="L833" s="201"/>
      <c r="M833" s="469">
        <v>-0.85069508999999999</v>
      </c>
      <c r="N833" s="469">
        <v>-0.85069508999999999</v>
      </c>
      <c r="O833" s="469">
        <v>-0.85069508999999999</v>
      </c>
      <c r="P833" s="469">
        <v>-0.85069508999999999</v>
      </c>
      <c r="Q833" s="469">
        <v>-0.85069508999999999</v>
      </c>
      <c r="R833" s="469">
        <v>-0.85069508999999999</v>
      </c>
      <c r="S833" s="469">
        <v>-0.85069508999999999</v>
      </c>
      <c r="T833" s="469">
        <v>-0.85069508999999999</v>
      </c>
      <c r="U833" s="469">
        <v>-0.85069508999999999</v>
      </c>
      <c r="V833" s="469">
        <v>-0.85069508999999999</v>
      </c>
    </row>
    <row r="834" spans="3:22" outlineLevel="1">
      <c r="C834" s="579" t="s">
        <v>842</v>
      </c>
      <c r="D834" s="583"/>
      <c r="E834" s="221"/>
      <c r="F834" s="221"/>
      <c r="G834" s="201"/>
      <c r="H834" s="201"/>
      <c r="I834" s="201"/>
      <c r="J834" s="201"/>
      <c r="K834" s="201"/>
      <c r="L834" s="201"/>
      <c r="M834" s="469">
        <v>55.538800250000001</v>
      </c>
      <c r="N834" s="469">
        <v>55.538800250000001</v>
      </c>
      <c r="O834" s="469">
        <v>55.538800250000001</v>
      </c>
      <c r="P834" s="469">
        <v>55.538800250000001</v>
      </c>
      <c r="Q834" s="469">
        <v>55.538800250000001</v>
      </c>
      <c r="R834" s="469">
        <v>55.538800250000001</v>
      </c>
      <c r="S834" s="469">
        <v>55.538800250000001</v>
      </c>
      <c r="T834" s="469">
        <v>55.538800250000001</v>
      </c>
      <c r="U834" s="469">
        <v>55.538800250000001</v>
      </c>
      <c r="V834" s="469">
        <v>55.538800250000001</v>
      </c>
    </row>
    <row r="835" spans="3:22" outlineLevel="1">
      <c r="C835" s="579" t="s">
        <v>843</v>
      </c>
      <c r="D835" s="583"/>
      <c r="E835" s="221"/>
      <c r="F835" s="221"/>
      <c r="G835" s="201"/>
      <c r="H835" s="201"/>
      <c r="I835" s="201"/>
      <c r="J835" s="201"/>
      <c r="K835" s="201"/>
      <c r="L835" s="201"/>
      <c r="M835" s="469">
        <v>-1.824794</v>
      </c>
      <c r="N835" s="469">
        <v>-1.824794</v>
      </c>
      <c r="O835" s="469">
        <v>-1.824794</v>
      </c>
      <c r="P835" s="469">
        <v>-1.824794</v>
      </c>
      <c r="Q835" s="469">
        <v>-1.824794</v>
      </c>
      <c r="R835" s="469">
        <v>-1.824794</v>
      </c>
      <c r="S835" s="469">
        <v>-1.824794</v>
      </c>
      <c r="T835" s="469">
        <v>-1.824794</v>
      </c>
      <c r="U835" s="469">
        <v>-1.824794</v>
      </c>
      <c r="V835" s="469">
        <v>-1.824794</v>
      </c>
    </row>
    <row r="836" spans="3:22" outlineLevel="1">
      <c r="C836" s="579" t="s">
        <v>844</v>
      </c>
      <c r="D836" s="583"/>
      <c r="E836" s="221"/>
      <c r="F836" s="221"/>
      <c r="G836" s="201"/>
      <c r="H836" s="201"/>
      <c r="I836" s="201"/>
      <c r="J836" s="201"/>
      <c r="K836" s="201"/>
      <c r="L836" s="201"/>
      <c r="M836" s="469">
        <v>0</v>
      </c>
      <c r="N836" s="469">
        <v>0</v>
      </c>
      <c r="O836" s="469">
        <v>0</v>
      </c>
      <c r="P836" s="469">
        <v>0</v>
      </c>
      <c r="Q836" s="469">
        <v>0</v>
      </c>
      <c r="R836" s="469">
        <v>0</v>
      </c>
      <c r="S836" s="469">
        <v>0</v>
      </c>
      <c r="T836" s="469">
        <v>0</v>
      </c>
      <c r="U836" s="469">
        <v>0</v>
      </c>
      <c r="V836" s="469">
        <v>0</v>
      </c>
    </row>
    <row r="837" spans="3:22" outlineLevel="1">
      <c r="C837" s="579" t="s">
        <v>845</v>
      </c>
      <c r="D837" s="583"/>
      <c r="E837" s="221"/>
      <c r="F837" s="221"/>
      <c r="G837" s="201"/>
      <c r="H837" s="201"/>
      <c r="I837" s="201"/>
      <c r="J837" s="201"/>
      <c r="K837" s="201"/>
      <c r="L837" s="201"/>
      <c r="M837" s="469">
        <v>0</v>
      </c>
      <c r="N837" s="469">
        <v>0</v>
      </c>
      <c r="O837" s="469">
        <v>0</v>
      </c>
      <c r="P837" s="469">
        <v>0</v>
      </c>
      <c r="Q837" s="469">
        <v>0</v>
      </c>
      <c r="R837" s="469">
        <v>0</v>
      </c>
      <c r="S837" s="469">
        <v>0</v>
      </c>
      <c r="T837" s="469">
        <v>0</v>
      </c>
      <c r="U837" s="469">
        <v>0</v>
      </c>
      <c r="V837" s="469">
        <v>0</v>
      </c>
    </row>
    <row r="838" spans="3:22" outlineLevel="1">
      <c r="C838" s="579" t="s">
        <v>846</v>
      </c>
      <c r="D838" s="583"/>
      <c r="E838" s="221"/>
      <c r="F838" s="221"/>
      <c r="G838" s="201"/>
      <c r="H838" s="201"/>
      <c r="I838" s="201"/>
      <c r="J838" s="201"/>
      <c r="K838" s="201"/>
      <c r="L838" s="201"/>
      <c r="M838" s="469">
        <v>0</v>
      </c>
      <c r="N838" s="469">
        <v>0</v>
      </c>
      <c r="O838" s="469">
        <v>0</v>
      </c>
      <c r="P838" s="469">
        <v>0</v>
      </c>
      <c r="Q838" s="469">
        <v>0</v>
      </c>
      <c r="R838" s="469">
        <v>0</v>
      </c>
      <c r="S838" s="469">
        <v>0</v>
      </c>
      <c r="T838" s="469">
        <v>0</v>
      </c>
      <c r="U838" s="469">
        <v>0</v>
      </c>
      <c r="V838" s="469">
        <v>0</v>
      </c>
    </row>
    <row r="839" spans="3:22" outlineLevel="1">
      <c r="C839" s="579" t="s">
        <v>847</v>
      </c>
      <c r="D839" s="583"/>
      <c r="E839" s="221"/>
      <c r="F839" s="221"/>
      <c r="G839" s="201"/>
      <c r="H839" s="201"/>
      <c r="I839" s="201"/>
      <c r="J839" s="201"/>
      <c r="K839" s="201"/>
      <c r="L839" s="201"/>
      <c r="M839" s="469">
        <v>-0.7</v>
      </c>
      <c r="N839" s="469">
        <v>-0.7</v>
      </c>
      <c r="O839" s="469">
        <v>-0.7</v>
      </c>
      <c r="P839" s="469">
        <v>-0.7</v>
      </c>
      <c r="Q839" s="469">
        <v>-0.7</v>
      </c>
      <c r="R839" s="469">
        <v>-0.7</v>
      </c>
      <c r="S839" s="469">
        <v>-0.7</v>
      </c>
      <c r="T839" s="469">
        <v>-0.7</v>
      </c>
      <c r="U839" s="469">
        <v>-0.7</v>
      </c>
      <c r="V839" s="469">
        <v>-0.7</v>
      </c>
    </row>
    <row r="840" spans="3:22" outlineLevel="1">
      <c r="C840" s="579" t="s">
        <v>848</v>
      </c>
      <c r="D840" s="583"/>
      <c r="E840" s="221"/>
      <c r="F840" s="221"/>
      <c r="G840" s="201"/>
      <c r="H840" s="201"/>
      <c r="I840" s="201"/>
      <c r="J840" s="201"/>
      <c r="K840" s="201"/>
      <c r="L840" s="201"/>
      <c r="M840" s="469">
        <v>0</v>
      </c>
      <c r="N840" s="469">
        <v>0</v>
      </c>
      <c r="O840" s="469">
        <v>0</v>
      </c>
      <c r="P840" s="469">
        <v>0</v>
      </c>
      <c r="Q840" s="469">
        <v>0</v>
      </c>
      <c r="R840" s="469">
        <v>0</v>
      </c>
      <c r="S840" s="469">
        <v>0</v>
      </c>
      <c r="T840" s="469">
        <v>0</v>
      </c>
      <c r="U840" s="469">
        <v>0</v>
      </c>
      <c r="V840" s="469">
        <v>0</v>
      </c>
    </row>
    <row r="841" spans="3:22" outlineLevel="1">
      <c r="C841" s="579" t="s">
        <v>848</v>
      </c>
      <c r="D841" s="583"/>
      <c r="E841" s="221"/>
      <c r="F841" s="221"/>
      <c r="G841" s="201"/>
      <c r="H841" s="201"/>
      <c r="I841" s="201"/>
      <c r="J841" s="201"/>
      <c r="K841" s="201"/>
      <c r="L841" s="201"/>
      <c r="M841" s="469">
        <v>0</v>
      </c>
      <c r="N841" s="469">
        <v>0</v>
      </c>
      <c r="O841" s="469">
        <v>0</v>
      </c>
      <c r="P841" s="469">
        <v>0</v>
      </c>
      <c r="Q841" s="469">
        <v>0</v>
      </c>
      <c r="R841" s="469">
        <v>0</v>
      </c>
      <c r="S841" s="469">
        <v>0</v>
      </c>
      <c r="T841" s="469">
        <v>0</v>
      </c>
      <c r="U841" s="469">
        <v>0</v>
      </c>
      <c r="V841" s="469">
        <v>0</v>
      </c>
    </row>
    <row r="842" spans="3:22" outlineLevel="1">
      <c r="C842" s="579" t="s">
        <v>848</v>
      </c>
      <c r="D842" s="583"/>
      <c r="E842" s="221"/>
      <c r="F842" s="221"/>
      <c r="G842" s="201"/>
      <c r="H842" s="201"/>
      <c r="I842" s="201"/>
      <c r="J842" s="201"/>
      <c r="K842" s="201"/>
      <c r="L842" s="201"/>
      <c r="M842" s="469">
        <v>0</v>
      </c>
      <c r="N842" s="469">
        <v>0</v>
      </c>
      <c r="O842" s="469">
        <v>0</v>
      </c>
      <c r="P842" s="469">
        <v>0</v>
      </c>
      <c r="Q842" s="469">
        <v>0</v>
      </c>
      <c r="R842" s="469">
        <v>0</v>
      </c>
      <c r="S842" s="469">
        <v>0</v>
      </c>
      <c r="T842" s="469">
        <v>0</v>
      </c>
      <c r="U842" s="469">
        <v>0</v>
      </c>
      <c r="V842" s="469">
        <v>0</v>
      </c>
    </row>
    <row r="843" spans="3:22" ht="12.75" customHeight="1" outlineLevel="1">
      <c r="C843" s="408" t="s">
        <v>313</v>
      </c>
      <c r="D843" s="222"/>
      <c r="E843" s="222"/>
      <c r="F843" s="222"/>
      <c r="G843" s="201"/>
      <c r="H843" s="201"/>
      <c r="I843" s="201"/>
      <c r="J843" s="201"/>
      <c r="K843" s="201"/>
      <c r="L843" s="201"/>
      <c r="M843" s="474">
        <f>SUM(M825:M842)</f>
        <v>334.24852264000003</v>
      </c>
      <c r="N843" s="475">
        <f t="shared" ref="N843:V843" si="67">SUM(N825:N842)</f>
        <v>477.81333967929612</v>
      </c>
      <c r="O843" s="475">
        <f t="shared" si="67"/>
        <v>345.95752497174806</v>
      </c>
      <c r="P843" s="475">
        <f t="shared" si="67"/>
        <v>267.95974177296995</v>
      </c>
      <c r="Q843" s="475">
        <f t="shared" si="67"/>
        <v>265.9294660603361</v>
      </c>
      <c r="R843" s="475">
        <f t="shared" si="67"/>
        <v>300.79211885311577</v>
      </c>
      <c r="S843" s="475">
        <f t="shared" si="67"/>
        <v>251.09275457950824</v>
      </c>
      <c r="T843" s="476">
        <f t="shared" si="67"/>
        <v>240.32768494967024</v>
      </c>
      <c r="U843" s="477">
        <f t="shared" si="67"/>
        <v>233.6752394302228</v>
      </c>
      <c r="V843" s="475">
        <f t="shared" si="67"/>
        <v>212.94297815237343</v>
      </c>
    </row>
    <row r="844" spans="3:22" outlineLevel="1">
      <c r="C844" s="232"/>
      <c r="D844" s="233"/>
      <c r="E844" s="233"/>
      <c r="F844" s="233"/>
      <c r="G844" s="224"/>
      <c r="H844" s="224"/>
      <c r="I844" s="224"/>
      <c r="J844" s="224"/>
      <c r="K844" s="224"/>
      <c r="L844" s="224"/>
      <c r="U844" s="283"/>
    </row>
    <row r="845" spans="3:22" outlineLevel="1">
      <c r="C845" s="219" t="s">
        <v>849</v>
      </c>
      <c r="D845" s="219"/>
      <c r="E845" s="219"/>
      <c r="F845" s="219"/>
      <c r="M845" s="474">
        <f>-M832</f>
        <v>0</v>
      </c>
      <c r="N845" s="474">
        <f t="shared" ref="N845:V845" si="68">-N832</f>
        <v>0</v>
      </c>
      <c r="O845" s="474">
        <f t="shared" si="68"/>
        <v>0</v>
      </c>
      <c r="P845" s="474">
        <f t="shared" si="68"/>
        <v>0</v>
      </c>
      <c r="Q845" s="474">
        <f t="shared" si="68"/>
        <v>0</v>
      </c>
      <c r="R845" s="474">
        <f t="shared" si="68"/>
        <v>0</v>
      </c>
      <c r="S845" s="474">
        <f t="shared" si="68"/>
        <v>0</v>
      </c>
      <c r="T845" s="474">
        <f t="shared" si="68"/>
        <v>0</v>
      </c>
      <c r="U845" s="474">
        <f t="shared" si="68"/>
        <v>0</v>
      </c>
      <c r="V845" s="474">
        <f t="shared" si="68"/>
        <v>0</v>
      </c>
    </row>
    <row r="846" spans="3:22" ht="12.75" customHeight="1" outlineLevel="1">
      <c r="C846" s="219" t="s">
        <v>850</v>
      </c>
      <c r="D846" s="220"/>
      <c r="E846" s="220"/>
      <c r="F846" s="220"/>
      <c r="G846" s="201"/>
      <c r="H846" s="201"/>
      <c r="I846" s="201"/>
      <c r="J846" s="201"/>
      <c r="K846" s="201"/>
      <c r="L846" s="201"/>
      <c r="M846" s="469">
        <v>0</v>
      </c>
      <c r="N846" s="469">
        <v>0</v>
      </c>
      <c r="O846" s="469">
        <v>0</v>
      </c>
      <c r="P846" s="469">
        <v>0</v>
      </c>
      <c r="Q846" s="469">
        <v>0</v>
      </c>
      <c r="R846" s="469">
        <v>0</v>
      </c>
      <c r="S846" s="469">
        <v>0</v>
      </c>
      <c r="T846" s="469">
        <v>0</v>
      </c>
      <c r="U846" s="469">
        <v>0</v>
      </c>
      <c r="V846" s="469">
        <v>0</v>
      </c>
    </row>
    <row r="847" spans="3:22" outlineLevel="1">
      <c r="C847" s="219" t="s">
        <v>851</v>
      </c>
      <c r="D847" s="219"/>
      <c r="E847" s="219"/>
      <c r="F847" s="219"/>
      <c r="G847" s="201"/>
      <c r="H847" s="201"/>
      <c r="I847" s="201"/>
      <c r="J847" s="201"/>
      <c r="K847" s="201"/>
      <c r="L847" s="201"/>
      <c r="M847" s="469">
        <v>0</v>
      </c>
      <c r="N847" s="469">
        <v>0</v>
      </c>
      <c r="O847" s="469">
        <v>0</v>
      </c>
      <c r="P847" s="469">
        <v>0</v>
      </c>
      <c r="Q847" s="469">
        <v>0</v>
      </c>
      <c r="R847" s="469">
        <v>0</v>
      </c>
      <c r="S847" s="469">
        <v>0</v>
      </c>
      <c r="T847" s="469">
        <v>0</v>
      </c>
      <c r="U847" s="469">
        <v>0</v>
      </c>
      <c r="V847" s="469">
        <v>0</v>
      </c>
    </row>
    <row r="848" spans="3:22" outlineLevel="1">
      <c r="C848" s="579" t="s">
        <v>848</v>
      </c>
      <c r="D848" s="583"/>
      <c r="E848" s="583"/>
      <c r="F848" s="583"/>
      <c r="M848" s="469">
        <v>0</v>
      </c>
      <c r="N848" s="469">
        <v>0</v>
      </c>
      <c r="O848" s="469">
        <v>0</v>
      </c>
      <c r="P848" s="469">
        <v>0</v>
      </c>
      <c r="Q848" s="469">
        <v>0</v>
      </c>
      <c r="R848" s="469">
        <v>0</v>
      </c>
      <c r="S848" s="469">
        <v>0</v>
      </c>
      <c r="T848" s="469">
        <v>0</v>
      </c>
      <c r="U848" s="469">
        <v>0</v>
      </c>
      <c r="V848" s="469">
        <v>0</v>
      </c>
    </row>
    <row r="849" spans="2:22" outlineLevel="1">
      <c r="C849" s="579" t="s">
        <v>848</v>
      </c>
      <c r="D849" s="583"/>
      <c r="E849" s="583"/>
      <c r="F849" s="583"/>
      <c r="M849" s="469">
        <v>0</v>
      </c>
      <c r="N849" s="469">
        <v>0</v>
      </c>
      <c r="O849" s="469">
        <v>0</v>
      </c>
      <c r="P849" s="469">
        <v>0</v>
      </c>
      <c r="Q849" s="469">
        <v>0</v>
      </c>
      <c r="R849" s="469">
        <v>0</v>
      </c>
      <c r="S849" s="469">
        <v>0</v>
      </c>
      <c r="T849" s="469">
        <v>0</v>
      </c>
      <c r="U849" s="469">
        <v>0</v>
      </c>
      <c r="V849" s="469">
        <v>0</v>
      </c>
    </row>
    <row r="850" spans="2:22" outlineLevel="1">
      <c r="C850" s="579" t="s">
        <v>848</v>
      </c>
      <c r="D850" s="583"/>
      <c r="E850" s="583"/>
      <c r="F850" s="583"/>
      <c r="M850" s="469">
        <v>0</v>
      </c>
      <c r="N850" s="469">
        <v>0</v>
      </c>
      <c r="O850" s="469">
        <v>0</v>
      </c>
      <c r="P850" s="469">
        <v>0</v>
      </c>
      <c r="Q850" s="469">
        <v>0</v>
      </c>
      <c r="R850" s="469">
        <v>0</v>
      </c>
      <c r="S850" s="469">
        <v>0</v>
      </c>
      <c r="T850" s="469">
        <v>0</v>
      </c>
      <c r="U850" s="469">
        <v>0</v>
      </c>
      <c r="V850" s="469">
        <v>0</v>
      </c>
    </row>
    <row r="851" spans="2:22" outlineLevel="1">
      <c r="C851" s="579" t="s">
        <v>848</v>
      </c>
      <c r="D851" s="579"/>
      <c r="E851" s="579"/>
      <c r="F851" s="579"/>
      <c r="M851" s="469">
        <v>0</v>
      </c>
      <c r="N851" s="469">
        <v>0</v>
      </c>
      <c r="O851" s="469">
        <v>0</v>
      </c>
      <c r="P851" s="469">
        <v>0</v>
      </c>
      <c r="Q851" s="469">
        <v>0</v>
      </c>
      <c r="R851" s="469">
        <v>0</v>
      </c>
      <c r="S851" s="469">
        <v>0</v>
      </c>
      <c r="T851" s="469">
        <v>0</v>
      </c>
      <c r="U851" s="469">
        <v>0</v>
      </c>
      <c r="V851" s="469">
        <v>0</v>
      </c>
    </row>
    <row r="852" spans="2:22" s="551" customFormat="1" outlineLevel="1">
      <c r="C852" s="580" t="s">
        <v>442</v>
      </c>
      <c r="D852" s="581"/>
      <c r="E852" s="581"/>
      <c r="F852" s="581"/>
      <c r="M852" s="474">
        <f>SUM(M845:M851)</f>
        <v>0</v>
      </c>
      <c r="N852" s="474">
        <f t="shared" ref="N852:V852" si="69">SUM(N845:N851)</f>
        <v>0</v>
      </c>
      <c r="O852" s="474">
        <f t="shared" si="69"/>
        <v>0</v>
      </c>
      <c r="P852" s="474">
        <f t="shared" si="69"/>
        <v>0</v>
      </c>
      <c r="Q852" s="474">
        <f t="shared" si="69"/>
        <v>0</v>
      </c>
      <c r="R852" s="474">
        <f t="shared" si="69"/>
        <v>0</v>
      </c>
      <c r="S852" s="474">
        <f t="shared" si="69"/>
        <v>0</v>
      </c>
      <c r="T852" s="474">
        <f t="shared" si="69"/>
        <v>0</v>
      </c>
      <c r="U852" s="474">
        <f t="shared" si="69"/>
        <v>0</v>
      </c>
      <c r="V852" s="474">
        <f t="shared" si="69"/>
        <v>0</v>
      </c>
    </row>
    <row r="853" spans="2:22" s="551" customFormat="1" outlineLevel="1">
      <c r="C853" s="580"/>
      <c r="D853" s="581"/>
      <c r="E853" s="581"/>
      <c r="F853" s="581"/>
      <c r="M853" s="582"/>
      <c r="N853" s="582"/>
      <c r="O853" s="582"/>
      <c r="P853" s="582"/>
      <c r="Q853" s="582"/>
      <c r="R853" s="582"/>
      <c r="S853" s="582"/>
      <c r="T853" s="582"/>
      <c r="U853" s="582"/>
      <c r="V853" s="582"/>
    </row>
    <row r="854" spans="2:22" outlineLevel="1">
      <c r="C854" s="229" t="s">
        <v>852</v>
      </c>
      <c r="D854" s="227"/>
      <c r="E854" s="227"/>
      <c r="F854" s="227"/>
      <c r="G854" s="227"/>
      <c r="H854" s="227"/>
      <c r="I854" s="227"/>
      <c r="J854" s="227"/>
      <c r="K854" s="227"/>
      <c r="L854" s="227"/>
      <c r="U854" s="283"/>
    </row>
    <row r="855" spans="2:22" outlineLevel="1">
      <c r="C855" s="201" t="s">
        <v>853</v>
      </c>
      <c r="D855" s="201"/>
      <c r="E855" s="201"/>
      <c r="F855" s="201"/>
      <c r="G855" s="201"/>
      <c r="H855" s="201"/>
      <c r="I855" s="201"/>
      <c r="J855" s="201"/>
      <c r="K855" s="201"/>
      <c r="L855" s="201"/>
      <c r="M855" s="574">
        <v>0</v>
      </c>
      <c r="N855" s="574">
        <v>0</v>
      </c>
      <c r="O855" s="574">
        <v>0</v>
      </c>
      <c r="P855" s="574">
        <v>0</v>
      </c>
      <c r="Q855" s="574">
        <v>0</v>
      </c>
      <c r="R855" s="574">
        <v>0</v>
      </c>
      <c r="S855" s="574">
        <v>0</v>
      </c>
      <c r="T855" s="574">
        <v>0</v>
      </c>
      <c r="U855" s="574">
        <v>0</v>
      </c>
      <c r="V855" s="574">
        <v>0</v>
      </c>
    </row>
    <row r="856" spans="2:22" outlineLevel="1">
      <c r="C856" s="201" t="s">
        <v>832</v>
      </c>
      <c r="D856" s="201"/>
      <c r="E856" s="201"/>
      <c r="F856" s="201"/>
      <c r="G856" s="201"/>
      <c r="H856" s="201"/>
      <c r="I856" s="201"/>
      <c r="J856" s="201"/>
      <c r="K856" s="201"/>
      <c r="L856" s="201"/>
      <c r="M856" s="198">
        <f>1-M855</f>
        <v>1</v>
      </c>
      <c r="N856" s="199">
        <f t="shared" ref="N856:V856" si="70">1-N855</f>
        <v>1</v>
      </c>
      <c r="O856" s="199">
        <f t="shared" si="70"/>
        <v>1</v>
      </c>
      <c r="P856" s="199">
        <f t="shared" si="70"/>
        <v>1</v>
      </c>
      <c r="Q856" s="199">
        <f t="shared" si="70"/>
        <v>1</v>
      </c>
      <c r="R856" s="199">
        <f t="shared" si="70"/>
        <v>1</v>
      </c>
      <c r="S856" s="199">
        <f t="shared" si="70"/>
        <v>1</v>
      </c>
      <c r="T856" s="279">
        <f t="shared" si="70"/>
        <v>1</v>
      </c>
      <c r="U856" s="298">
        <f t="shared" si="70"/>
        <v>1</v>
      </c>
      <c r="V856" s="199">
        <f t="shared" si="70"/>
        <v>1</v>
      </c>
    </row>
    <row r="857" spans="2:22" outlineLevel="1">
      <c r="C857" s="232"/>
      <c r="D857" s="233"/>
      <c r="E857" s="233"/>
      <c r="F857" s="233"/>
      <c r="G857" s="224"/>
      <c r="H857" s="224"/>
      <c r="I857" s="224"/>
      <c r="J857" s="224"/>
      <c r="K857" s="224"/>
      <c r="L857" s="224"/>
      <c r="U857" s="283"/>
    </row>
    <row r="858" spans="2:22" outlineLevel="1">
      <c r="C858" s="230" t="s">
        <v>854</v>
      </c>
      <c r="D858" s="231"/>
      <c r="E858" s="231"/>
      <c r="F858" s="231"/>
      <c r="G858" s="227"/>
      <c r="H858" s="227"/>
      <c r="I858" s="227"/>
      <c r="J858" s="227"/>
      <c r="K858" s="227"/>
      <c r="L858" s="227"/>
      <c r="U858" s="283"/>
    </row>
    <row r="859" spans="2:22" ht="12.75" customHeight="1" outlineLevel="1">
      <c r="C859" s="219" t="s">
        <v>855</v>
      </c>
      <c r="D859" s="220"/>
      <c r="E859" s="220"/>
      <c r="F859" s="220"/>
      <c r="G859" s="201"/>
      <c r="H859" s="201"/>
      <c r="I859" s="201"/>
      <c r="J859" s="201"/>
      <c r="K859" s="201"/>
      <c r="L859" s="201"/>
      <c r="M859" s="483">
        <f>'R6a - Net Debt input'!T566</f>
        <v>8330.8154859799979</v>
      </c>
      <c r="N859" s="484">
        <f>'R6a - Net Debt input'!U566</f>
        <v>8885.0399475428385</v>
      </c>
      <c r="O859" s="484">
        <f>'R6a - Net Debt input'!V566</f>
        <v>8784.9807556309952</v>
      </c>
      <c r="P859" s="484">
        <f>'R6a - Net Debt input'!W566</f>
        <v>8217.2876138064803</v>
      </c>
      <c r="Q859" s="484">
        <f>'R6a - Net Debt input'!X566</f>
        <v>8202.2452682699186</v>
      </c>
      <c r="R859" s="484">
        <f>'R6a - Net Debt input'!Y566</f>
        <v>7306.8360895837195</v>
      </c>
      <c r="S859" s="484">
        <f>'R6a - Net Debt input'!Z566</f>
        <v>6888.6843141463314</v>
      </c>
      <c r="T859" s="485">
        <f>'R6a - Net Debt input'!AA566</f>
        <v>6383.7954064193191</v>
      </c>
      <c r="U859" s="486">
        <f>'R6a - Net Debt input'!AB566</f>
        <v>5858.5943150167013</v>
      </c>
      <c r="V859" s="484">
        <f>'R6a - Net Debt input'!AC566</f>
        <v>5508.080270305747</v>
      </c>
    </row>
    <row r="860" spans="2:22" ht="12.75" customHeight="1" outlineLevel="1">
      <c r="C860" s="219" t="s">
        <v>313</v>
      </c>
      <c r="D860" s="220"/>
      <c r="E860" s="220"/>
      <c r="F860" s="220"/>
      <c r="G860" s="201"/>
      <c r="H860" s="201"/>
      <c r="I860" s="201"/>
      <c r="J860" s="201"/>
      <c r="K860" s="201"/>
      <c r="L860" s="201"/>
      <c r="M860" s="619">
        <f>M843</f>
        <v>334.24852264000003</v>
      </c>
      <c r="N860" s="620">
        <f t="shared" ref="N860:V860" si="71">N843</f>
        <v>477.81333967929612</v>
      </c>
      <c r="O860" s="620">
        <f t="shared" si="71"/>
        <v>345.95752497174806</v>
      </c>
      <c r="P860" s="620">
        <f t="shared" si="71"/>
        <v>267.95974177296995</v>
      </c>
      <c r="Q860" s="620">
        <f t="shared" si="71"/>
        <v>265.9294660603361</v>
      </c>
      <c r="R860" s="620">
        <f t="shared" si="71"/>
        <v>300.79211885311577</v>
      </c>
      <c r="S860" s="620">
        <f t="shared" si="71"/>
        <v>251.09275457950824</v>
      </c>
      <c r="T860" s="621">
        <f t="shared" si="71"/>
        <v>240.32768494967024</v>
      </c>
      <c r="U860" s="622">
        <f t="shared" si="71"/>
        <v>233.6752394302228</v>
      </c>
      <c r="V860" s="620">
        <f t="shared" si="71"/>
        <v>212.94297815237343</v>
      </c>
    </row>
    <row r="861" spans="2:22">
      <c r="C861" s="224"/>
      <c r="D861" s="224"/>
      <c r="E861" s="224"/>
      <c r="F861" s="224"/>
      <c r="G861" s="224"/>
      <c r="H861" s="224"/>
      <c r="I861" s="224"/>
      <c r="J861" s="224"/>
      <c r="K861" s="224"/>
      <c r="L861" s="224"/>
      <c r="U861" s="283"/>
    </row>
    <row r="862" spans="2:22">
      <c r="U862" s="283"/>
    </row>
    <row r="863" spans="2:22" ht="15">
      <c r="B863" s="257" t="s">
        <v>856</v>
      </c>
      <c r="C863" s="253"/>
      <c r="D863" s="253"/>
      <c r="E863" s="253"/>
      <c r="F863" s="253"/>
      <c r="G863" s="253"/>
      <c r="H863" s="253"/>
      <c r="I863" s="253"/>
      <c r="J863" s="253"/>
      <c r="K863" s="253"/>
      <c r="L863" s="253"/>
      <c r="M863" s="253"/>
      <c r="N863" s="253"/>
      <c r="O863" s="253"/>
      <c r="P863" s="253"/>
      <c r="Q863" s="253"/>
      <c r="R863" s="253"/>
      <c r="S863" s="253"/>
      <c r="T863" s="253"/>
      <c r="U863" s="295"/>
      <c r="V863" s="253"/>
    </row>
    <row r="864" spans="2:22" outlineLevel="1">
      <c r="B864" s="158" t="s">
        <v>857</v>
      </c>
      <c r="U864" s="283"/>
    </row>
    <row r="865" spans="2:22" outlineLevel="1">
      <c r="C865" s="226" t="s">
        <v>858</v>
      </c>
      <c r="D865" s="227"/>
      <c r="E865" s="226"/>
      <c r="F865" s="228"/>
      <c r="G865" s="227"/>
      <c r="H865" s="227"/>
      <c r="I865" s="227"/>
      <c r="J865" s="227"/>
      <c r="K865" s="227"/>
      <c r="L865" s="227"/>
      <c r="M865" s="159"/>
      <c r="N865" s="159"/>
      <c r="O865" s="159"/>
      <c r="P865" s="159"/>
      <c r="Q865" s="159"/>
      <c r="R865" s="159"/>
      <c r="S865" s="159"/>
      <c r="T865" s="159"/>
      <c r="U865" s="297"/>
      <c r="V865" s="159"/>
    </row>
    <row r="866" spans="2:22" outlineLevel="1">
      <c r="C866" s="214" t="s">
        <v>796</v>
      </c>
      <c r="D866" s="201"/>
      <c r="E866" s="215"/>
      <c r="F866" s="201"/>
      <c r="G866" s="201"/>
      <c r="H866" s="201"/>
      <c r="I866" s="201"/>
      <c r="J866" s="201"/>
      <c r="K866" s="201"/>
      <c r="L866" s="201"/>
      <c r="M866" s="468">
        <v>0</v>
      </c>
      <c r="N866" s="468">
        <v>0</v>
      </c>
      <c r="O866" s="468">
        <v>0</v>
      </c>
      <c r="P866" s="468">
        <v>0</v>
      </c>
      <c r="Q866" s="468">
        <v>0</v>
      </c>
      <c r="R866" s="468">
        <v>0</v>
      </c>
      <c r="S866" s="468">
        <v>0</v>
      </c>
      <c r="T866" s="468">
        <v>0</v>
      </c>
      <c r="U866" s="468">
        <v>0</v>
      </c>
      <c r="V866" s="468">
        <v>0</v>
      </c>
    </row>
    <row r="867" spans="2:22" outlineLevel="1">
      <c r="C867" s="214" t="s">
        <v>797</v>
      </c>
      <c r="D867" s="201"/>
      <c r="E867" s="215"/>
      <c r="F867" s="215"/>
      <c r="G867" s="201"/>
      <c r="H867" s="201"/>
      <c r="I867" s="201"/>
      <c r="J867" s="201"/>
      <c r="K867" s="201"/>
      <c r="L867" s="201"/>
      <c r="M867" s="468">
        <v>0</v>
      </c>
      <c r="N867" s="468">
        <v>0</v>
      </c>
      <c r="O867" s="468">
        <v>0</v>
      </c>
      <c r="P867" s="468">
        <v>0</v>
      </c>
      <c r="Q867" s="468">
        <v>0</v>
      </c>
      <c r="R867" s="468">
        <v>0</v>
      </c>
      <c r="S867" s="468">
        <v>0</v>
      </c>
      <c r="T867" s="468">
        <v>0</v>
      </c>
      <c r="U867" s="468">
        <v>0</v>
      </c>
      <c r="V867" s="468">
        <v>0</v>
      </c>
    </row>
    <row r="868" spans="2:22" outlineLevel="1">
      <c r="B868" s="150" t="s">
        <v>464</v>
      </c>
      <c r="C868" s="201" t="s">
        <v>466</v>
      </c>
      <c r="D868" s="201"/>
      <c r="E868" s="215"/>
      <c r="F868" s="215"/>
      <c r="G868" s="201"/>
      <c r="H868" s="201"/>
      <c r="I868" s="201"/>
      <c r="J868" s="201"/>
      <c r="K868" s="201"/>
      <c r="L868" s="201"/>
      <c r="M868" s="478">
        <f t="shared" ref="M868:V868" si="72">M157</f>
        <v>144.79999999999998</v>
      </c>
      <c r="N868" s="479">
        <f t="shared" si="72"/>
        <v>160.04122143644997</v>
      </c>
      <c r="O868" s="479">
        <f t="shared" si="72"/>
        <v>160.97941055030466</v>
      </c>
      <c r="P868" s="479">
        <f t="shared" si="72"/>
        <v>153.50734001103442</v>
      </c>
      <c r="Q868" s="479">
        <f t="shared" si="72"/>
        <v>150.45483186027013</v>
      </c>
      <c r="R868" s="479">
        <f t="shared" si="72"/>
        <v>149.13928572647828</v>
      </c>
      <c r="S868" s="479">
        <f t="shared" si="72"/>
        <v>138.80622605147255</v>
      </c>
      <c r="T868" s="480">
        <f t="shared" si="72"/>
        <v>129.52205707411676</v>
      </c>
      <c r="U868" s="481">
        <f t="shared" si="72"/>
        <v>119.31454296924031</v>
      </c>
      <c r="V868" s="479">
        <f t="shared" si="72"/>
        <v>112.31265169030372</v>
      </c>
    </row>
    <row r="869" spans="2:22" outlineLevel="1">
      <c r="B869" s="150" t="s">
        <v>464</v>
      </c>
      <c r="C869" s="214" t="s">
        <v>798</v>
      </c>
      <c r="D869" s="201"/>
      <c r="E869" s="215"/>
      <c r="F869" s="215"/>
      <c r="G869" s="201"/>
      <c r="H869" s="201"/>
      <c r="I869" s="201"/>
      <c r="J869" s="201"/>
      <c r="K869" s="201"/>
      <c r="L869" s="201"/>
      <c r="M869" s="478">
        <f t="shared" ref="M869:V869" si="73">M201</f>
        <v>10.1</v>
      </c>
      <c r="N869" s="479">
        <f t="shared" si="73"/>
        <v>9.1336065573770497</v>
      </c>
      <c r="O869" s="479">
        <f t="shared" si="73"/>
        <v>8.1</v>
      </c>
      <c r="P869" s="479">
        <f t="shared" si="73"/>
        <v>8.1</v>
      </c>
      <c r="Q869" s="479">
        <f t="shared" si="73"/>
        <v>8.1</v>
      </c>
      <c r="R869" s="479">
        <f t="shared" si="73"/>
        <v>5.2524590163934421</v>
      </c>
      <c r="S869" s="479">
        <f t="shared" si="73"/>
        <v>0</v>
      </c>
      <c r="T869" s="480">
        <f t="shared" si="73"/>
        <v>0</v>
      </c>
      <c r="U869" s="481">
        <f t="shared" si="73"/>
        <v>0</v>
      </c>
      <c r="V869" s="479">
        <f t="shared" si="73"/>
        <v>0</v>
      </c>
    </row>
    <row r="870" spans="2:22" outlineLevel="1">
      <c r="B870" s="150" t="s">
        <v>551</v>
      </c>
      <c r="C870" s="214" t="s">
        <v>799</v>
      </c>
      <c r="D870" s="201"/>
      <c r="E870" s="215"/>
      <c r="F870" s="215"/>
      <c r="G870" s="201"/>
      <c r="H870" s="201"/>
      <c r="I870" s="201"/>
      <c r="J870" s="201"/>
      <c r="K870" s="201"/>
      <c r="L870" s="201"/>
      <c r="M870" s="479">
        <f>M234</f>
        <v>2.9669760000000003</v>
      </c>
      <c r="N870" s="479">
        <f t="shared" ref="N870:V870" si="74">N234</f>
        <v>0</v>
      </c>
      <c r="O870" s="479">
        <f t="shared" si="74"/>
        <v>0</v>
      </c>
      <c r="P870" s="479">
        <f t="shared" si="74"/>
        <v>0</v>
      </c>
      <c r="Q870" s="479">
        <f t="shared" si="74"/>
        <v>0</v>
      </c>
      <c r="R870" s="479">
        <f t="shared" si="74"/>
        <v>0</v>
      </c>
      <c r="S870" s="479">
        <f t="shared" si="74"/>
        <v>0</v>
      </c>
      <c r="T870" s="480">
        <f t="shared" si="74"/>
        <v>0</v>
      </c>
      <c r="U870" s="481">
        <f t="shared" si="74"/>
        <v>0</v>
      </c>
      <c r="V870" s="479">
        <f t="shared" si="74"/>
        <v>0</v>
      </c>
    </row>
    <row r="871" spans="2:22" outlineLevel="1">
      <c r="B871" s="150" t="s">
        <v>800</v>
      </c>
      <c r="C871" s="214" t="s">
        <v>859</v>
      </c>
      <c r="D871" s="201"/>
      <c r="E871" s="215"/>
      <c r="F871" s="215"/>
      <c r="G871" s="201"/>
      <c r="H871" s="201"/>
      <c r="I871" s="201"/>
      <c r="J871" s="201"/>
      <c r="K871" s="201"/>
      <c r="L871" s="201"/>
      <c r="M871" s="478">
        <f t="shared" ref="M871:V871" si="75">SUM(M443,M625,M654,M678,M702,M747,M769)</f>
        <v>-10.700000000000001</v>
      </c>
      <c r="N871" s="479">
        <f t="shared" si="75"/>
        <v>13.723730589999999</v>
      </c>
      <c r="O871" s="479">
        <f t="shared" si="75"/>
        <v>27.448998169999996</v>
      </c>
      <c r="P871" s="479">
        <f t="shared" si="75"/>
        <v>22.17330887</v>
      </c>
      <c r="Q871" s="479">
        <f t="shared" si="75"/>
        <v>14.597850339999999</v>
      </c>
      <c r="R871" s="479">
        <f t="shared" si="75"/>
        <v>12.196523789999999</v>
      </c>
      <c r="S871" s="479">
        <f t="shared" si="75"/>
        <v>11.219216529999997</v>
      </c>
      <c r="T871" s="480">
        <f t="shared" si="75"/>
        <v>10.859708300000001</v>
      </c>
      <c r="U871" s="481">
        <f t="shared" si="75"/>
        <v>12.956813559999999</v>
      </c>
      <c r="V871" s="479">
        <f t="shared" si="75"/>
        <v>14.4444926</v>
      </c>
    </row>
    <row r="872" spans="2:22" outlineLevel="1">
      <c r="C872" s="405" t="s">
        <v>802</v>
      </c>
      <c r="D872" s="406"/>
      <c r="E872" s="407"/>
      <c r="F872" s="407"/>
      <c r="G872" s="201"/>
      <c r="H872" s="201"/>
      <c r="I872" s="201"/>
      <c r="J872" s="201"/>
      <c r="K872" s="201"/>
      <c r="L872" s="201"/>
      <c r="M872" s="482">
        <v>0</v>
      </c>
      <c r="N872" s="482">
        <v>0</v>
      </c>
      <c r="O872" s="482">
        <v>0</v>
      </c>
      <c r="P872" s="482">
        <v>0</v>
      </c>
      <c r="Q872" s="482">
        <v>0</v>
      </c>
      <c r="R872" s="482">
        <v>0</v>
      </c>
      <c r="S872" s="482">
        <v>0</v>
      </c>
      <c r="T872" s="482">
        <v>0</v>
      </c>
      <c r="U872" s="482">
        <v>0</v>
      </c>
      <c r="V872" s="482">
        <v>0</v>
      </c>
    </row>
    <row r="873" spans="2:22" outlineLevel="1">
      <c r="C873" s="216" t="s">
        <v>860</v>
      </c>
      <c r="D873" s="201"/>
      <c r="E873" s="215"/>
      <c r="F873" s="215"/>
      <c r="G873" s="201"/>
      <c r="H873" s="201"/>
      <c r="I873" s="201"/>
      <c r="J873" s="201"/>
      <c r="K873" s="201"/>
      <c r="L873" s="201"/>
      <c r="M873" s="478">
        <f>SUM(M866:M872)</f>
        <v>147.16697599999998</v>
      </c>
      <c r="N873" s="479">
        <f t="shared" ref="N873:V873" si="76">SUM(N866:N872)</f>
        <v>182.89855858382703</v>
      </c>
      <c r="O873" s="479">
        <f t="shared" si="76"/>
        <v>196.52840872030464</v>
      </c>
      <c r="P873" s="479">
        <f t="shared" si="76"/>
        <v>183.78064888103441</v>
      </c>
      <c r="Q873" s="479">
        <f t="shared" si="76"/>
        <v>173.15268220027014</v>
      </c>
      <c r="R873" s="479">
        <f t="shared" si="76"/>
        <v>166.58826853287169</v>
      </c>
      <c r="S873" s="479">
        <f t="shared" si="76"/>
        <v>150.02544258147253</v>
      </c>
      <c r="T873" s="480">
        <f t="shared" si="76"/>
        <v>140.38176537411675</v>
      </c>
      <c r="U873" s="481">
        <f t="shared" si="76"/>
        <v>132.27135652924031</v>
      </c>
      <c r="V873" s="479">
        <f t="shared" si="76"/>
        <v>126.75714429030373</v>
      </c>
    </row>
    <row r="874" spans="2:22" outlineLevel="1">
      <c r="C874" s="214" t="s">
        <v>806</v>
      </c>
      <c r="D874" s="201"/>
      <c r="E874" s="215"/>
      <c r="F874" s="215"/>
      <c r="G874" s="201"/>
      <c r="H874" s="201"/>
      <c r="I874" s="201"/>
      <c r="J874" s="201"/>
      <c r="K874" s="201"/>
      <c r="L874" s="201"/>
      <c r="M874" s="469">
        <v>0</v>
      </c>
      <c r="N874" s="469">
        <v>0</v>
      </c>
      <c r="O874" s="469">
        <v>0</v>
      </c>
      <c r="P874" s="469">
        <v>0</v>
      </c>
      <c r="Q874" s="469">
        <v>0</v>
      </c>
      <c r="R874" s="469">
        <v>0</v>
      </c>
      <c r="S874" s="469">
        <v>0</v>
      </c>
      <c r="T874" s="469">
        <v>0</v>
      </c>
      <c r="U874" s="469">
        <v>0</v>
      </c>
      <c r="V874" s="469">
        <v>0</v>
      </c>
    </row>
    <row r="875" spans="2:22" ht="14" outlineLevel="1" thickBot="1">
      <c r="C875" s="234" t="s">
        <v>861</v>
      </c>
      <c r="D875" s="224"/>
      <c r="E875" s="225"/>
      <c r="F875" s="225"/>
      <c r="G875" s="201"/>
      <c r="H875" s="201"/>
      <c r="I875" s="201"/>
      <c r="J875" s="201"/>
      <c r="K875" s="201"/>
      <c r="L875" s="201"/>
      <c r="M875" s="469">
        <v>0</v>
      </c>
      <c r="N875" s="469">
        <v>0</v>
      </c>
      <c r="O875" s="469">
        <v>0</v>
      </c>
      <c r="P875" s="469">
        <v>0</v>
      </c>
      <c r="Q875" s="469">
        <v>0</v>
      </c>
      <c r="R875" s="469">
        <v>0</v>
      </c>
      <c r="S875" s="469">
        <v>0</v>
      </c>
      <c r="T875" s="469">
        <v>0</v>
      </c>
      <c r="U875" s="469">
        <v>0</v>
      </c>
      <c r="V875" s="469">
        <v>0</v>
      </c>
    </row>
    <row r="876" spans="2:22" ht="14" outlineLevel="1" thickBot="1">
      <c r="C876" s="1235" t="s">
        <v>813</v>
      </c>
      <c r="D876" s="1236"/>
      <c r="E876" s="1237"/>
      <c r="F876" s="1238"/>
      <c r="G876" s="201"/>
      <c r="H876" s="201"/>
      <c r="I876" s="201"/>
      <c r="J876" s="201"/>
      <c r="K876" s="201"/>
      <c r="L876" s="201"/>
      <c r="M876" s="469">
        <v>1.5</v>
      </c>
      <c r="N876" s="469">
        <v>0</v>
      </c>
      <c r="O876" s="469">
        <v>0</v>
      </c>
      <c r="P876" s="469">
        <v>0</v>
      </c>
      <c r="Q876" s="469">
        <v>0</v>
      </c>
      <c r="R876" s="469">
        <v>0</v>
      </c>
      <c r="S876" s="469">
        <v>0</v>
      </c>
      <c r="T876" s="469">
        <v>0</v>
      </c>
      <c r="U876" s="469">
        <v>0</v>
      </c>
      <c r="V876" s="469">
        <v>0</v>
      </c>
    </row>
    <row r="877" spans="2:22" outlineLevel="1">
      <c r="C877" s="1232" t="s">
        <v>862</v>
      </c>
      <c r="D877" s="1233"/>
      <c r="E877" s="1234"/>
      <c r="F877" s="1234"/>
      <c r="G877" s="201"/>
      <c r="H877" s="201"/>
      <c r="I877" s="201"/>
      <c r="J877" s="201"/>
      <c r="K877" s="201"/>
      <c r="L877" s="201"/>
      <c r="M877" s="469">
        <v>1.3</v>
      </c>
      <c r="N877" s="469">
        <v>0</v>
      </c>
      <c r="O877" s="469">
        <v>0</v>
      </c>
      <c r="P877" s="469">
        <v>0</v>
      </c>
      <c r="Q877" s="469">
        <v>0</v>
      </c>
      <c r="R877" s="469">
        <v>0</v>
      </c>
      <c r="S877" s="469">
        <v>0</v>
      </c>
      <c r="T877" s="469">
        <v>0</v>
      </c>
      <c r="U877" s="469">
        <v>0</v>
      </c>
      <c r="V877" s="469">
        <v>0</v>
      </c>
    </row>
    <row r="878" spans="2:22" outlineLevel="1">
      <c r="C878" s="216" t="s">
        <v>863</v>
      </c>
      <c r="D878" s="201"/>
      <c r="E878" s="215"/>
      <c r="F878" s="215"/>
      <c r="G878" s="201"/>
      <c r="H878" s="201"/>
      <c r="I878" s="201"/>
      <c r="J878" s="201"/>
      <c r="K878" s="201"/>
      <c r="L878" s="201"/>
      <c r="M878" s="474">
        <f>SUM(M873:M877)</f>
        <v>149.96697599999999</v>
      </c>
      <c r="N878" s="475">
        <f t="shared" ref="N878:V878" si="77">SUM(N873:N877)</f>
        <v>182.89855858382703</v>
      </c>
      <c r="O878" s="475">
        <f t="shared" si="77"/>
        <v>196.52840872030464</v>
      </c>
      <c r="P878" s="475">
        <f t="shared" si="77"/>
        <v>183.78064888103441</v>
      </c>
      <c r="Q878" s="475">
        <f t="shared" si="77"/>
        <v>173.15268220027014</v>
      </c>
      <c r="R878" s="475">
        <f t="shared" si="77"/>
        <v>166.58826853287169</v>
      </c>
      <c r="S878" s="475">
        <f t="shared" si="77"/>
        <v>150.02544258147253</v>
      </c>
      <c r="T878" s="476">
        <f t="shared" si="77"/>
        <v>140.38176537411675</v>
      </c>
      <c r="U878" s="477">
        <f t="shared" si="77"/>
        <v>132.27135652924031</v>
      </c>
      <c r="V878" s="475">
        <f t="shared" si="77"/>
        <v>126.75714429030373</v>
      </c>
    </row>
    <row r="879" spans="2:22" outlineLevel="1">
      <c r="C879" s="224"/>
      <c r="D879" s="224"/>
      <c r="E879" s="224"/>
      <c r="F879" s="224"/>
      <c r="G879" s="224"/>
      <c r="H879" s="224"/>
      <c r="I879" s="224"/>
      <c r="J879" s="224"/>
      <c r="K879" s="224"/>
      <c r="L879" s="224"/>
      <c r="M879" s="272"/>
      <c r="N879" s="272"/>
      <c r="O879" s="272"/>
      <c r="P879" s="272"/>
      <c r="Q879" s="272"/>
      <c r="R879" s="272"/>
      <c r="S879" s="272"/>
      <c r="T879" s="272"/>
      <c r="U879" s="299"/>
      <c r="V879" s="272"/>
    </row>
    <row r="880" spans="2:22" outlineLevel="1">
      <c r="M880" s="272"/>
      <c r="N880" s="272"/>
      <c r="O880" s="272"/>
      <c r="P880" s="272"/>
      <c r="Q880" s="272"/>
      <c r="R880" s="272"/>
      <c r="S880" s="272"/>
      <c r="T880" s="272"/>
      <c r="U880" s="299"/>
      <c r="V880" s="272"/>
    </row>
    <row r="881" spans="2:22" outlineLevel="1">
      <c r="C881" s="226" t="s">
        <v>864</v>
      </c>
      <c r="D881" s="227"/>
      <c r="E881" s="226"/>
      <c r="F881" s="228"/>
      <c r="G881" s="227"/>
      <c r="H881" s="227"/>
      <c r="I881" s="227"/>
      <c r="J881" s="227"/>
      <c r="K881" s="227"/>
      <c r="L881" s="227"/>
      <c r="M881" s="273"/>
      <c r="N881" s="273"/>
      <c r="O881" s="273"/>
      <c r="P881" s="273"/>
      <c r="Q881" s="273"/>
      <c r="R881" s="273"/>
      <c r="S881" s="273"/>
      <c r="T881" s="273"/>
      <c r="U881" s="300"/>
      <c r="V881" s="273"/>
    </row>
    <row r="882" spans="2:22" outlineLevel="1">
      <c r="C882" s="214" t="s">
        <v>817</v>
      </c>
      <c r="D882" s="201"/>
      <c r="E882" s="215"/>
      <c r="F882" s="215"/>
      <c r="G882" s="201"/>
      <c r="H882" s="201"/>
      <c r="I882" s="201"/>
      <c r="J882" s="201"/>
      <c r="K882" s="201"/>
      <c r="L882" s="201"/>
      <c r="M882" s="468">
        <v>0</v>
      </c>
      <c r="N882" s="468">
        <v>0</v>
      </c>
      <c r="O882" s="468">
        <v>0</v>
      </c>
      <c r="P882" s="468">
        <v>0</v>
      </c>
      <c r="Q882" s="468">
        <v>0</v>
      </c>
      <c r="R882" s="468">
        <v>0</v>
      </c>
      <c r="S882" s="468">
        <v>0</v>
      </c>
      <c r="T882" s="468">
        <v>0</v>
      </c>
      <c r="U882" s="468">
        <v>0</v>
      </c>
      <c r="V882" s="468">
        <v>0</v>
      </c>
    </row>
    <row r="883" spans="2:22" outlineLevel="1">
      <c r="C883" s="215" t="s">
        <v>818</v>
      </c>
      <c r="D883" s="201"/>
      <c r="E883" s="215"/>
      <c r="F883" s="215"/>
      <c r="G883" s="201"/>
      <c r="H883" s="201"/>
      <c r="I883" s="201"/>
      <c r="J883" s="201"/>
      <c r="K883" s="201"/>
      <c r="L883" s="201"/>
      <c r="M883" s="468">
        <v>0</v>
      </c>
      <c r="N883" s="468">
        <v>0</v>
      </c>
      <c r="O883" s="468">
        <v>0</v>
      </c>
      <c r="P883" s="468">
        <v>0</v>
      </c>
      <c r="Q883" s="468">
        <v>0</v>
      </c>
      <c r="R883" s="468">
        <v>0</v>
      </c>
      <c r="S883" s="468">
        <v>0</v>
      </c>
      <c r="T883" s="468">
        <v>0</v>
      </c>
      <c r="U883" s="468">
        <v>0</v>
      </c>
      <c r="V883" s="468">
        <v>0</v>
      </c>
    </row>
    <row r="884" spans="2:22" outlineLevel="1">
      <c r="C884" s="215" t="s">
        <v>819</v>
      </c>
      <c r="D884" s="201"/>
      <c r="E884" s="215"/>
      <c r="F884" s="215"/>
      <c r="G884" s="201"/>
      <c r="H884" s="201"/>
      <c r="I884" s="201"/>
      <c r="J884" s="201"/>
      <c r="K884" s="201"/>
      <c r="L884" s="201"/>
      <c r="M884" s="468">
        <v>-1.5079340000000001</v>
      </c>
      <c r="N884" s="468">
        <v>0</v>
      </c>
      <c r="O884" s="468">
        <v>0</v>
      </c>
      <c r="P884" s="468">
        <v>0</v>
      </c>
      <c r="Q884" s="468">
        <v>0</v>
      </c>
      <c r="R884" s="468">
        <v>0</v>
      </c>
      <c r="S884" s="468">
        <v>0</v>
      </c>
      <c r="T884" s="468">
        <v>0</v>
      </c>
      <c r="U884" s="468">
        <v>0</v>
      </c>
      <c r="V884" s="468">
        <v>0</v>
      </c>
    </row>
    <row r="885" spans="2:22" outlineLevel="1">
      <c r="B885" s="150" t="s">
        <v>562</v>
      </c>
      <c r="C885" s="214" t="s">
        <v>820</v>
      </c>
      <c r="D885" s="201"/>
      <c r="E885" s="215"/>
      <c r="F885" s="215"/>
      <c r="G885" s="201"/>
      <c r="H885" s="201"/>
      <c r="I885" s="201"/>
      <c r="J885" s="201"/>
      <c r="K885" s="201"/>
      <c r="L885" s="201"/>
      <c r="M885" s="478">
        <f t="shared" ref="M885:V885" si="78">M267</f>
        <v>0</v>
      </c>
      <c r="N885" s="479">
        <f t="shared" si="78"/>
        <v>0</v>
      </c>
      <c r="O885" s="479">
        <f t="shared" si="78"/>
        <v>0</v>
      </c>
      <c r="P885" s="479">
        <f t="shared" si="78"/>
        <v>0</v>
      </c>
      <c r="Q885" s="479">
        <f t="shared" si="78"/>
        <v>0</v>
      </c>
      <c r="R885" s="479">
        <f t="shared" si="78"/>
        <v>0</v>
      </c>
      <c r="S885" s="479">
        <f t="shared" si="78"/>
        <v>0</v>
      </c>
      <c r="T885" s="480">
        <f t="shared" si="78"/>
        <v>0</v>
      </c>
      <c r="U885" s="481">
        <f t="shared" si="78"/>
        <v>0</v>
      </c>
      <c r="V885" s="479">
        <f t="shared" si="78"/>
        <v>0</v>
      </c>
    </row>
    <row r="886" spans="2:22" outlineLevel="1">
      <c r="C886" s="216" t="s">
        <v>865</v>
      </c>
      <c r="D886" s="201"/>
      <c r="E886" s="215"/>
      <c r="F886" s="215"/>
      <c r="G886" s="201"/>
      <c r="H886" s="201"/>
      <c r="I886" s="201"/>
      <c r="J886" s="201"/>
      <c r="K886" s="201"/>
      <c r="L886" s="201"/>
      <c r="M886" s="478">
        <f t="shared" ref="M886:V886" si="79">SUM(M882:M885)</f>
        <v>-1.5079340000000001</v>
      </c>
      <c r="N886" s="479">
        <f t="shared" si="79"/>
        <v>0</v>
      </c>
      <c r="O886" s="479">
        <f t="shared" si="79"/>
        <v>0</v>
      </c>
      <c r="P886" s="479">
        <f t="shared" si="79"/>
        <v>0</v>
      </c>
      <c r="Q886" s="479">
        <f t="shared" si="79"/>
        <v>0</v>
      </c>
      <c r="R886" s="479">
        <f t="shared" si="79"/>
        <v>0</v>
      </c>
      <c r="S886" s="479">
        <f t="shared" si="79"/>
        <v>0</v>
      </c>
      <c r="T886" s="480">
        <f t="shared" si="79"/>
        <v>0</v>
      </c>
      <c r="U886" s="481">
        <f t="shared" si="79"/>
        <v>0</v>
      </c>
      <c r="V886" s="479">
        <f t="shared" si="79"/>
        <v>0</v>
      </c>
    </row>
    <row r="887" spans="2:22" outlineLevel="1">
      <c r="C887" s="214" t="s">
        <v>866</v>
      </c>
      <c r="D887" s="201"/>
      <c r="E887" s="215"/>
      <c r="F887" s="215"/>
      <c r="G887" s="201"/>
      <c r="H887" s="201"/>
      <c r="I887" s="201"/>
      <c r="J887" s="201"/>
      <c r="K887" s="201"/>
      <c r="L887" s="201"/>
      <c r="M887" s="469">
        <v>0</v>
      </c>
      <c r="N887" s="469">
        <v>0</v>
      </c>
      <c r="O887" s="469">
        <v>0</v>
      </c>
      <c r="P887" s="469">
        <v>0</v>
      </c>
      <c r="Q887" s="469">
        <v>0</v>
      </c>
      <c r="R887" s="469">
        <v>0</v>
      </c>
      <c r="S887" s="469">
        <v>0</v>
      </c>
      <c r="T887" s="469">
        <v>0</v>
      </c>
      <c r="U887" s="469">
        <v>0</v>
      </c>
      <c r="V887" s="469">
        <v>0</v>
      </c>
    </row>
    <row r="888" spans="2:22" outlineLevel="1">
      <c r="C888" s="214" t="s">
        <v>823</v>
      </c>
      <c r="D888" s="201"/>
      <c r="E888" s="215"/>
      <c r="F888" s="215"/>
      <c r="G888" s="201"/>
      <c r="H888" s="201"/>
      <c r="I888" s="201"/>
      <c r="J888" s="201"/>
      <c r="K888" s="201"/>
      <c r="L888" s="201"/>
      <c r="M888" s="469">
        <v>0</v>
      </c>
      <c r="N888" s="469">
        <v>0</v>
      </c>
      <c r="O888" s="469">
        <v>0</v>
      </c>
      <c r="P888" s="469">
        <v>0</v>
      </c>
      <c r="Q888" s="469">
        <v>0</v>
      </c>
      <c r="R888" s="469">
        <v>0</v>
      </c>
      <c r="S888" s="469">
        <v>0</v>
      </c>
      <c r="T888" s="469">
        <v>0</v>
      </c>
      <c r="U888" s="469">
        <v>0</v>
      </c>
      <c r="V888" s="469">
        <v>0</v>
      </c>
    </row>
    <row r="889" spans="2:22" outlineLevel="1">
      <c r="C889" s="214" t="s">
        <v>867</v>
      </c>
      <c r="D889" s="201"/>
      <c r="E889" s="215"/>
      <c r="F889" s="215"/>
      <c r="G889" s="201"/>
      <c r="H889" s="201"/>
      <c r="I889" s="201"/>
      <c r="J889" s="201"/>
      <c r="K889" s="201"/>
      <c r="L889" s="201"/>
      <c r="M889" s="469">
        <v>0</v>
      </c>
      <c r="N889" s="469">
        <v>0</v>
      </c>
      <c r="O889" s="469">
        <v>0</v>
      </c>
      <c r="P889" s="469">
        <v>0</v>
      </c>
      <c r="Q889" s="469">
        <v>0</v>
      </c>
      <c r="R889" s="469">
        <v>0</v>
      </c>
      <c r="S889" s="469">
        <v>0</v>
      </c>
      <c r="T889" s="469">
        <v>0</v>
      </c>
      <c r="U889" s="469">
        <v>0</v>
      </c>
      <c r="V889" s="469">
        <v>0</v>
      </c>
    </row>
    <row r="890" spans="2:22" outlineLevel="1">
      <c r="C890" s="405" t="s">
        <v>802</v>
      </c>
      <c r="D890" s="406"/>
      <c r="E890" s="407"/>
      <c r="F890" s="407"/>
      <c r="G890" s="201"/>
      <c r="H890" s="201"/>
      <c r="I890" s="201"/>
      <c r="J890" s="201"/>
      <c r="K890" s="201"/>
      <c r="L890" s="201"/>
      <c r="M890" s="469">
        <v>0</v>
      </c>
      <c r="N890" s="469">
        <v>0</v>
      </c>
      <c r="O890" s="469">
        <v>0</v>
      </c>
      <c r="P890" s="469">
        <v>0</v>
      </c>
      <c r="Q890" s="469">
        <v>0</v>
      </c>
      <c r="R890" s="469">
        <v>0</v>
      </c>
      <c r="S890" s="469">
        <v>0</v>
      </c>
      <c r="T890" s="469">
        <v>0</v>
      </c>
      <c r="U890" s="469">
        <v>0</v>
      </c>
      <c r="V890" s="469">
        <v>0</v>
      </c>
    </row>
    <row r="891" spans="2:22" outlineLevel="1">
      <c r="C891" s="216" t="s">
        <v>868</v>
      </c>
      <c r="D891" s="201"/>
      <c r="E891" s="215"/>
      <c r="F891" s="215"/>
      <c r="G891" s="201"/>
      <c r="H891" s="201"/>
      <c r="I891" s="201"/>
      <c r="J891" s="201"/>
      <c r="K891" s="201"/>
      <c r="L891" s="201"/>
      <c r="M891" s="474">
        <f t="shared" ref="M891:V891" si="80">SUM(M886:M890)</f>
        <v>-1.5079340000000001</v>
      </c>
      <c r="N891" s="475">
        <f t="shared" si="80"/>
        <v>0</v>
      </c>
      <c r="O891" s="475">
        <f t="shared" si="80"/>
        <v>0</v>
      </c>
      <c r="P891" s="475">
        <f t="shared" si="80"/>
        <v>0</v>
      </c>
      <c r="Q891" s="475">
        <f t="shared" si="80"/>
        <v>0</v>
      </c>
      <c r="R891" s="475">
        <f t="shared" si="80"/>
        <v>0</v>
      </c>
      <c r="S891" s="475">
        <f t="shared" si="80"/>
        <v>0</v>
      </c>
      <c r="T891" s="476">
        <f t="shared" si="80"/>
        <v>0</v>
      </c>
      <c r="U891" s="477">
        <f t="shared" si="80"/>
        <v>0</v>
      </c>
      <c r="V891" s="475">
        <f t="shared" si="80"/>
        <v>0</v>
      </c>
    </row>
    <row r="892" spans="2:22" outlineLevel="1">
      <c r="C892" s="224"/>
      <c r="D892" s="224"/>
      <c r="E892" s="224"/>
      <c r="F892" s="224"/>
      <c r="G892" s="224"/>
      <c r="H892" s="224"/>
      <c r="I892" s="224"/>
      <c r="J892" s="224"/>
      <c r="K892" s="224"/>
      <c r="L892" s="224"/>
      <c r="M892" s="272"/>
      <c r="N892" s="272"/>
      <c r="O892" s="272"/>
      <c r="P892" s="272"/>
      <c r="Q892" s="272"/>
      <c r="R892" s="272"/>
      <c r="S892" s="272"/>
      <c r="T892" s="272"/>
      <c r="U892" s="299"/>
      <c r="V892" s="272"/>
    </row>
    <row r="893" spans="2:22" outlineLevel="1">
      <c r="C893" s="230" t="s">
        <v>869</v>
      </c>
      <c r="D893" s="231"/>
      <c r="E893" s="231"/>
      <c r="F893" s="231"/>
      <c r="G893" s="227"/>
      <c r="H893" s="227"/>
      <c r="I893" s="227"/>
      <c r="J893" s="227"/>
      <c r="K893" s="227"/>
      <c r="L893" s="228"/>
      <c r="M893" s="272"/>
      <c r="N893" s="272"/>
      <c r="O893" s="272"/>
      <c r="P893" s="272"/>
      <c r="Q893" s="272"/>
      <c r="R893" s="272"/>
      <c r="S893" s="272"/>
      <c r="T893" s="272"/>
      <c r="U893" s="299"/>
      <c r="V893" s="272"/>
    </row>
    <row r="894" spans="2:22" outlineLevel="1">
      <c r="C894" s="219" t="s">
        <v>870</v>
      </c>
      <c r="D894" s="219"/>
      <c r="E894" s="219"/>
      <c r="F894" s="219"/>
      <c r="G894" s="201"/>
      <c r="H894" s="201"/>
      <c r="I894" s="201"/>
      <c r="J894" s="201"/>
      <c r="K894" s="201"/>
      <c r="L894" s="201"/>
      <c r="M894" s="474">
        <f>M878</f>
        <v>149.96697599999999</v>
      </c>
      <c r="N894" s="475">
        <f t="shared" ref="N894:V894" si="81">N878</f>
        <v>182.89855858382703</v>
      </c>
      <c r="O894" s="475">
        <f t="shared" si="81"/>
        <v>196.52840872030464</v>
      </c>
      <c r="P894" s="475">
        <f t="shared" si="81"/>
        <v>183.78064888103441</v>
      </c>
      <c r="Q894" s="475">
        <f t="shared" si="81"/>
        <v>173.15268220027014</v>
      </c>
      <c r="R894" s="475">
        <f t="shared" si="81"/>
        <v>166.58826853287169</v>
      </c>
      <c r="S894" s="475">
        <f t="shared" si="81"/>
        <v>150.02544258147253</v>
      </c>
      <c r="T894" s="476">
        <f t="shared" si="81"/>
        <v>140.38176537411675</v>
      </c>
      <c r="U894" s="477">
        <f t="shared" si="81"/>
        <v>132.27135652924031</v>
      </c>
      <c r="V894" s="475">
        <f t="shared" si="81"/>
        <v>126.75714429030373</v>
      </c>
    </row>
    <row r="895" spans="2:22" outlineLevel="1">
      <c r="C895" s="219" t="s">
        <v>871</v>
      </c>
      <c r="D895" s="220"/>
      <c r="E895" s="220"/>
      <c r="F895" s="220"/>
      <c r="G895" s="201"/>
      <c r="H895" s="201"/>
      <c r="I895" s="201"/>
      <c r="J895" s="201"/>
      <c r="K895" s="201"/>
      <c r="L895" s="201"/>
      <c r="M895" s="474">
        <f>M891</f>
        <v>-1.5079340000000001</v>
      </c>
      <c r="N895" s="475">
        <f t="shared" ref="N895:V895" si="82">N891</f>
        <v>0</v>
      </c>
      <c r="O895" s="475">
        <f t="shared" si="82"/>
        <v>0</v>
      </c>
      <c r="P895" s="475">
        <f t="shared" si="82"/>
        <v>0</v>
      </c>
      <c r="Q895" s="475">
        <f t="shared" si="82"/>
        <v>0</v>
      </c>
      <c r="R895" s="475">
        <f t="shared" si="82"/>
        <v>0</v>
      </c>
      <c r="S895" s="475">
        <f t="shared" si="82"/>
        <v>0</v>
      </c>
      <c r="T895" s="476">
        <f t="shared" si="82"/>
        <v>0</v>
      </c>
      <c r="U895" s="477">
        <f t="shared" si="82"/>
        <v>0</v>
      </c>
      <c r="V895" s="475">
        <f t="shared" si="82"/>
        <v>0</v>
      </c>
    </row>
    <row r="896" spans="2:22" outlineLevel="1">
      <c r="C896" s="219" t="s">
        <v>872</v>
      </c>
      <c r="D896" s="219"/>
      <c r="E896" s="219"/>
      <c r="F896" s="219"/>
      <c r="G896" s="201"/>
      <c r="H896" s="201"/>
      <c r="I896" s="201"/>
      <c r="J896" s="201"/>
      <c r="K896" s="201"/>
      <c r="L896" s="201"/>
      <c r="M896" s="474">
        <f>SUM(M894:M895)</f>
        <v>148.45904199999998</v>
      </c>
      <c r="N896" s="475">
        <f t="shared" ref="N896:V896" si="83">SUM(N894:N895)</f>
        <v>182.89855858382703</v>
      </c>
      <c r="O896" s="475">
        <f t="shared" si="83"/>
        <v>196.52840872030464</v>
      </c>
      <c r="P896" s="475">
        <f t="shared" si="83"/>
        <v>183.78064888103441</v>
      </c>
      <c r="Q896" s="475">
        <f t="shared" si="83"/>
        <v>173.15268220027014</v>
      </c>
      <c r="R896" s="475">
        <f t="shared" si="83"/>
        <v>166.58826853287169</v>
      </c>
      <c r="S896" s="475">
        <f t="shared" si="83"/>
        <v>150.02544258147253</v>
      </c>
      <c r="T896" s="476">
        <f t="shared" si="83"/>
        <v>140.38176537411675</v>
      </c>
      <c r="U896" s="477">
        <f t="shared" si="83"/>
        <v>132.27135652924031</v>
      </c>
      <c r="V896" s="475">
        <f t="shared" si="83"/>
        <v>126.75714429030373</v>
      </c>
    </row>
    <row r="897" spans="2:31" outlineLevel="1">
      <c r="C897" s="235"/>
      <c r="D897" s="235"/>
      <c r="E897" s="235"/>
      <c r="F897" s="235"/>
      <c r="G897" s="224"/>
      <c r="H897" s="224"/>
      <c r="I897" s="224"/>
      <c r="J897" s="224"/>
      <c r="K897" s="224"/>
      <c r="L897" s="224"/>
      <c r="M897" s="272"/>
      <c r="N897" s="272"/>
      <c r="O897" s="272"/>
      <c r="P897" s="272"/>
      <c r="Q897" s="272"/>
      <c r="R897" s="272"/>
      <c r="S897" s="272"/>
      <c r="T897" s="272"/>
      <c r="U897" s="299"/>
      <c r="V897" s="272"/>
    </row>
    <row r="898" spans="2:31" outlineLevel="1">
      <c r="B898" s="161"/>
      <c r="C898" s="229" t="s">
        <v>873</v>
      </c>
      <c r="D898" s="229"/>
      <c r="E898" s="227"/>
      <c r="F898" s="227"/>
      <c r="G898" s="227"/>
      <c r="H898" s="227"/>
      <c r="I898" s="227"/>
      <c r="J898" s="227"/>
      <c r="K898" s="227"/>
      <c r="L898" s="227"/>
      <c r="M898" s="272"/>
      <c r="N898" s="272"/>
      <c r="O898" s="272"/>
      <c r="P898" s="272"/>
      <c r="Q898" s="272"/>
      <c r="R898" s="272"/>
      <c r="S898" s="272"/>
      <c r="T898" s="272"/>
      <c r="U898" s="299"/>
      <c r="V898" s="272"/>
    </row>
    <row r="899" spans="2:31" outlineLevel="1">
      <c r="B899" s="161"/>
      <c r="C899" s="201" t="s">
        <v>874</v>
      </c>
      <c r="D899" s="201"/>
      <c r="E899" s="201"/>
      <c r="F899" s="201"/>
      <c r="G899" s="201"/>
      <c r="H899" s="201"/>
      <c r="I899" s="201"/>
      <c r="J899" s="201"/>
      <c r="K899" s="201"/>
      <c r="L899" s="201"/>
      <c r="M899" s="359">
        <v>0</v>
      </c>
      <c r="N899" s="359">
        <v>0</v>
      </c>
      <c r="O899" s="359">
        <v>0</v>
      </c>
      <c r="P899" s="359">
        <v>0</v>
      </c>
      <c r="Q899" s="359">
        <v>0</v>
      </c>
      <c r="R899" s="359">
        <v>0</v>
      </c>
      <c r="S899" s="359">
        <v>0</v>
      </c>
      <c r="T899" s="359">
        <v>0</v>
      </c>
      <c r="U899" s="359">
        <v>0</v>
      </c>
      <c r="V899" s="359">
        <v>0</v>
      </c>
    </row>
    <row r="900" spans="2:31" outlineLevel="1">
      <c r="B900" s="161"/>
      <c r="C900" s="201" t="s">
        <v>832</v>
      </c>
      <c r="D900" s="201"/>
      <c r="E900" s="201"/>
      <c r="F900" s="201"/>
      <c r="G900" s="201"/>
      <c r="H900" s="201"/>
      <c r="I900" s="201"/>
      <c r="J900" s="201"/>
      <c r="K900" s="201"/>
      <c r="L900" s="201"/>
      <c r="M900" s="198">
        <f>1-M899</f>
        <v>1</v>
      </c>
      <c r="N900" s="199">
        <f t="shared" ref="N900:V900" si="84">1-N899</f>
        <v>1</v>
      </c>
      <c r="O900" s="199">
        <f t="shared" si="84"/>
        <v>1</v>
      </c>
      <c r="P900" s="199">
        <f t="shared" si="84"/>
        <v>1</v>
      </c>
      <c r="Q900" s="199">
        <f t="shared" si="84"/>
        <v>1</v>
      </c>
      <c r="R900" s="199">
        <f t="shared" si="84"/>
        <v>1</v>
      </c>
      <c r="S900" s="199">
        <f t="shared" si="84"/>
        <v>1</v>
      </c>
      <c r="T900" s="279">
        <f t="shared" si="84"/>
        <v>1</v>
      </c>
      <c r="U900" s="298">
        <f t="shared" si="84"/>
        <v>1</v>
      </c>
      <c r="V900" s="199">
        <f t="shared" si="84"/>
        <v>1</v>
      </c>
    </row>
    <row r="901" spans="2:31" outlineLevel="1">
      <c r="B901" s="161"/>
    </row>
    <row r="902" spans="2:31">
      <c r="B902" s="169"/>
      <c r="X902" s="283"/>
    </row>
    <row r="903" spans="2:31" s="165" customFormat="1" ht="15" customHeight="1">
      <c r="B903" s="163" t="s">
        <v>875</v>
      </c>
      <c r="C903" s="163"/>
      <c r="D903" s="163"/>
      <c r="E903" s="163"/>
      <c r="F903" s="163"/>
      <c r="G903" s="163"/>
      <c r="H903" s="163"/>
      <c r="I903" s="163"/>
      <c r="J903" s="163"/>
      <c r="K903" s="163"/>
      <c r="L903" s="163"/>
      <c r="M903" s="163"/>
      <c r="N903" s="163"/>
      <c r="O903" s="163"/>
      <c r="P903" s="163"/>
      <c r="Q903" s="163"/>
      <c r="R903" s="163"/>
      <c r="S903" s="163"/>
      <c r="T903" s="163"/>
      <c r="U903" s="163"/>
      <c r="V903" s="163"/>
      <c r="W903" s="164"/>
      <c r="X903" s="164"/>
      <c r="Y903" s="164"/>
      <c r="Z903" s="164"/>
      <c r="AA903" s="164"/>
      <c r="AB903" s="164"/>
      <c r="AC903" s="164"/>
      <c r="AD903" s="164"/>
      <c r="AE903" s="164"/>
    </row>
    <row r="906" spans="2:31">
      <c r="E906" s="151" t="s">
        <v>876</v>
      </c>
    </row>
  </sheetData>
  <mergeCells count="140">
    <mergeCell ref="E436:I436"/>
    <mergeCell ref="E437:I437"/>
    <mergeCell ref="E438:I438"/>
    <mergeCell ref="E439:I439"/>
    <mergeCell ref="E440:I440"/>
    <mergeCell ref="E441:I441"/>
    <mergeCell ref="E427:I427"/>
    <mergeCell ref="E428:I428"/>
    <mergeCell ref="E429:I429"/>
    <mergeCell ref="E430:I430"/>
    <mergeCell ref="E431:I431"/>
    <mergeCell ref="E432:I432"/>
    <mergeCell ref="E433:I433"/>
    <mergeCell ref="E434:I434"/>
    <mergeCell ref="E435:I435"/>
    <mergeCell ref="E539:I540"/>
    <mergeCell ref="E642:I643"/>
    <mergeCell ref="E644:I644"/>
    <mergeCell ref="E645:I645"/>
    <mergeCell ref="C637:I637"/>
    <mergeCell ref="E631:I632"/>
    <mergeCell ref="E646:I646"/>
    <mergeCell ref="E647:I647"/>
    <mergeCell ref="E648:I648"/>
    <mergeCell ref="C709:I709"/>
    <mergeCell ref="C720:I720"/>
    <mergeCell ref="C721:I721"/>
    <mergeCell ref="C722:I722"/>
    <mergeCell ref="E700:I700"/>
    <mergeCell ref="E649:I649"/>
    <mergeCell ref="E650:I650"/>
    <mergeCell ref="E671:I672"/>
    <mergeCell ref="E652:I652"/>
    <mergeCell ref="C653:I653"/>
    <mergeCell ref="C666:I666"/>
    <mergeCell ref="E660:I661"/>
    <mergeCell ref="E673:I673"/>
    <mergeCell ref="E674:I674"/>
    <mergeCell ref="E675:I675"/>
    <mergeCell ref="E676:I676"/>
    <mergeCell ref="C677:I677"/>
    <mergeCell ref="E651:I651"/>
    <mergeCell ref="E697:I697"/>
    <mergeCell ref="C710:I710"/>
    <mergeCell ref="C711:I711"/>
    <mergeCell ref="E698:I698"/>
    <mergeCell ref="E699:I699"/>
    <mergeCell ref="C724:I724"/>
    <mergeCell ref="C712:I712"/>
    <mergeCell ref="C713:I713"/>
    <mergeCell ref="C714:I714"/>
    <mergeCell ref="C715:I715"/>
    <mergeCell ref="C716:I716"/>
    <mergeCell ref="C717:I717"/>
    <mergeCell ref="C718:I718"/>
    <mergeCell ref="C719:I719"/>
    <mergeCell ref="C723:I723"/>
    <mergeCell ref="C731:I731"/>
    <mergeCell ref="C743:I743"/>
    <mergeCell ref="C744:I744"/>
    <mergeCell ref="C745:I745"/>
    <mergeCell ref="C746:I746"/>
    <mergeCell ref="C732:I732"/>
    <mergeCell ref="C733:I733"/>
    <mergeCell ref="C734:I734"/>
    <mergeCell ref="C735:I735"/>
    <mergeCell ref="C736:I736"/>
    <mergeCell ref="C737:I737"/>
    <mergeCell ref="C738:I738"/>
    <mergeCell ref="C739:I739"/>
    <mergeCell ref="C740:I740"/>
    <mergeCell ref="C741:I741"/>
    <mergeCell ref="C742:I742"/>
    <mergeCell ref="C764:I764"/>
    <mergeCell ref="C765:I765"/>
    <mergeCell ref="C766:I766"/>
    <mergeCell ref="C767:I767"/>
    <mergeCell ref="C768:I768"/>
    <mergeCell ref="C754:I754"/>
    <mergeCell ref="C755:I755"/>
    <mergeCell ref="C756:I756"/>
    <mergeCell ref="C757:I757"/>
    <mergeCell ref="C758:I758"/>
    <mergeCell ref="E420:I420"/>
    <mergeCell ref="E398:I398"/>
    <mergeCell ref="E399:I399"/>
    <mergeCell ref="E400:I400"/>
    <mergeCell ref="E401:I401"/>
    <mergeCell ref="E402:I402"/>
    <mergeCell ref="E403:I403"/>
    <mergeCell ref="E404:I404"/>
    <mergeCell ref="E405:I405"/>
    <mergeCell ref="E406:I406"/>
    <mergeCell ref="E407:I407"/>
    <mergeCell ref="E408:I408"/>
    <mergeCell ref="E409:I409"/>
    <mergeCell ref="E410:I410"/>
    <mergeCell ref="E416:I416"/>
    <mergeCell ref="E417:I417"/>
    <mergeCell ref="E418:I418"/>
    <mergeCell ref="E411:I411"/>
    <mergeCell ref="E412:I412"/>
    <mergeCell ref="E413:I413"/>
    <mergeCell ref="E414:I414"/>
    <mergeCell ref="E415:I415"/>
    <mergeCell ref="B306:B307"/>
    <mergeCell ref="C306:I307"/>
    <mergeCell ref="B274:B275"/>
    <mergeCell ref="C274:I275"/>
    <mergeCell ref="C289:I290"/>
    <mergeCell ref="B289:B290"/>
    <mergeCell ref="C330:I330"/>
    <mergeCell ref="B321:B322"/>
    <mergeCell ref="C321:I322"/>
    <mergeCell ref="C323:I323"/>
    <mergeCell ref="C324:I324"/>
    <mergeCell ref="M7:Q7"/>
    <mergeCell ref="R7:V7"/>
    <mergeCell ref="E695:I696"/>
    <mergeCell ref="E684:I685"/>
    <mergeCell ref="C325:I325"/>
    <mergeCell ref="C331:I331"/>
    <mergeCell ref="C326:I326"/>
    <mergeCell ref="C327:I327"/>
    <mergeCell ref="C328:I328"/>
    <mergeCell ref="C329:I329"/>
    <mergeCell ref="E422:I422"/>
    <mergeCell ref="E423:I423"/>
    <mergeCell ref="E424:I424"/>
    <mergeCell ref="E425:I425"/>
    <mergeCell ref="E395:I396"/>
    <mergeCell ref="E397:I397"/>
    <mergeCell ref="E338:I339"/>
    <mergeCell ref="C390:I390"/>
    <mergeCell ref="E449:I450"/>
    <mergeCell ref="C442:I442"/>
    <mergeCell ref="I446:Q446"/>
    <mergeCell ref="E426:I426"/>
    <mergeCell ref="E421:I421"/>
    <mergeCell ref="E419:I419"/>
  </mergeCells>
  <phoneticPr fontId="265" type="noConversion"/>
  <conditionalFormatting sqref="M855:V855 M340:V390 M397:V442 M633:V637">
    <cfRule type="cellIs" priority="63" stopIfTrue="1" operator="greaterThanOrEqual">
      <formula>0</formula>
    </cfRule>
  </conditionalFormatting>
  <conditionalFormatting sqref="M821:V821">
    <cfRule type="cellIs" priority="62" stopIfTrue="1" operator="greaterThanOrEqual">
      <formula>0</formula>
    </cfRule>
  </conditionalFormatting>
  <conditionalFormatting sqref="M899:V899">
    <cfRule type="cellIs" priority="61" stopIfTrue="1" operator="greaterThanOrEqual">
      <formula>0</formula>
    </cfRule>
  </conditionalFormatting>
  <conditionalFormatting sqref="U9">
    <cfRule type="expression" dxfId="32" priority="57">
      <formula>AND(U$5="Actuals",V$5="Forecast")</formula>
    </cfRule>
  </conditionalFormatting>
  <conditionalFormatting sqref="M9:U9">
    <cfRule type="expression" dxfId="31" priority="54">
      <formula>AND(M$8="Actuals",N$8="Forecast")</formula>
    </cfRule>
  </conditionalFormatting>
  <conditionalFormatting sqref="M644:V653 M673:V677 M697:V703 M764:V769 M541:V624 M731:V746">
    <cfRule type="cellIs" priority="52" stopIfTrue="1" operator="greaterThanOrEqual">
      <formula>0</formula>
    </cfRule>
  </conditionalFormatting>
  <conditionalFormatting sqref="M748:V748">
    <cfRule type="cellIs" priority="51" stopIfTrue="1" operator="greaterThanOrEqual">
      <formula>0</formula>
    </cfRule>
  </conditionalFormatting>
  <conditionalFormatting sqref="M747:V747">
    <cfRule type="cellIs" priority="50" stopIfTrue="1" operator="greaterThanOrEqual">
      <formula>0</formula>
    </cfRule>
  </conditionalFormatting>
  <conditionalFormatting sqref="B442">
    <cfRule type="cellIs" priority="49" stopIfTrue="1" operator="greaterThanOrEqual">
      <formula>0</formula>
    </cfRule>
  </conditionalFormatting>
  <conditionalFormatting sqref="C442">
    <cfRule type="cellIs" priority="44" stopIfTrue="1" operator="greaterThanOrEqual">
      <formula>0</formula>
    </cfRule>
  </conditionalFormatting>
  <conditionalFormatting sqref="C701:D701">
    <cfRule type="cellIs" priority="23" stopIfTrue="1" operator="greaterThanOrEqual">
      <formula>0</formula>
    </cfRule>
  </conditionalFormatting>
  <conditionalFormatting sqref="C677">
    <cfRule type="cellIs" priority="24" stopIfTrue="1" operator="greaterThanOrEqual">
      <formula>0</formula>
    </cfRule>
  </conditionalFormatting>
  <conditionalFormatting sqref="C653">
    <cfRule type="cellIs" priority="19" stopIfTrue="1" operator="greaterThanOrEqual">
      <formula>0</formula>
    </cfRule>
  </conditionalFormatting>
  <conditionalFormatting sqref="M770:V770">
    <cfRule type="cellIs" priority="17" stopIfTrue="1" operator="greaterThanOrEqual">
      <formula>0</formula>
    </cfRule>
  </conditionalFormatting>
  <conditionalFormatting sqref="B390">
    <cfRule type="cellIs" priority="16" stopIfTrue="1" operator="greaterThanOrEqual">
      <formula>0</formula>
    </cfRule>
  </conditionalFormatting>
  <conditionalFormatting sqref="C390">
    <cfRule type="cellIs" priority="15" stopIfTrue="1" operator="greaterThanOrEqual">
      <formula>0</formula>
    </cfRule>
  </conditionalFormatting>
  <conditionalFormatting sqref="M451:V534">
    <cfRule type="cellIs" priority="13" stopIfTrue="1" operator="greaterThanOrEqual">
      <formula>0</formula>
    </cfRule>
  </conditionalFormatting>
  <conditionalFormatting sqref="C637">
    <cfRule type="cellIs" priority="10" stopIfTrue="1" operator="greaterThanOrEqual">
      <formula>0</formula>
    </cfRule>
  </conditionalFormatting>
  <conditionalFormatting sqref="M662:V666">
    <cfRule type="cellIs" priority="9" stopIfTrue="1" operator="greaterThanOrEqual">
      <formula>0</formula>
    </cfRule>
  </conditionalFormatting>
  <conditionalFormatting sqref="C666">
    <cfRule type="cellIs" priority="8" stopIfTrue="1" operator="greaterThanOrEqual">
      <formula>0</formula>
    </cfRule>
  </conditionalFormatting>
  <conditionalFormatting sqref="M686:V692">
    <cfRule type="cellIs" priority="7" stopIfTrue="1" operator="greaterThanOrEqual">
      <formula>0</formula>
    </cfRule>
  </conditionalFormatting>
  <conditionalFormatting sqref="C690:D690">
    <cfRule type="cellIs" priority="6" stopIfTrue="1" operator="greaterThanOrEqual">
      <formula>0</formula>
    </cfRule>
  </conditionalFormatting>
  <conditionalFormatting sqref="M709:V724">
    <cfRule type="cellIs" priority="5" stopIfTrue="1" operator="greaterThanOrEqual">
      <formula>0</formula>
    </cfRule>
  </conditionalFormatting>
  <conditionalFormatting sqref="M725:V725">
    <cfRule type="cellIs" priority="4" stopIfTrue="1" operator="greaterThanOrEqual">
      <formula>0</formula>
    </cfRule>
  </conditionalFormatting>
  <conditionalFormatting sqref="M754:V760">
    <cfRule type="cellIs" priority="2" stopIfTrue="1" operator="greaterThanOrEqual">
      <formula>0</formula>
    </cfRule>
  </conditionalFormatting>
  <conditionalFormatting sqref="V9">
    <cfRule type="expression" dxfId="30" priority="278">
      <formula>AND(V$5="Actuals",#REF!="Forecast")</formula>
    </cfRule>
  </conditionalFormatting>
  <conditionalFormatting sqref="V9">
    <cfRule type="expression" dxfId="29" priority="280">
      <formula>AND(V$8="Actuals",#REF!="Forecast")</formula>
    </cfRule>
  </conditionalFormatting>
  <dataValidations disablePrompts="1" count="2">
    <dataValidation type="decimal" operator="greaterThanOrEqual" allowBlank="1" showInputMessage="1" showErrorMessage="1" sqref="X786:X790" xr:uid="{00000000-0002-0000-0900-000000000000}">
      <formula1>0</formula1>
    </dataValidation>
    <dataValidation type="decimal" operator="lessThanOrEqual" allowBlank="1" showInputMessage="1" showErrorMessage="1" sqref="X791" xr:uid="{00000000-0002-0000-09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EpmWorksheetKeyString_GUID" r:id="rId2"/>
  </customProperties>
  <ignoredErrors>
    <ignoredError sqref="C645:I647 C674:I676 C698:I700 C644 F644:I644 F673:I673 F697:I697 D731 D764:I764 C754 F731:I731" unlockedFormula="1"/>
  </ignoredError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tabSelected="1" zoomScale="80" zoomScaleNormal="80" workbookViewId="0">
      <pane ySplit="7" topLeftCell="A59" activePane="bottomLeft" state="frozen"/>
      <selection activeCell="B9" sqref="B9"/>
      <selection pane="bottomLeft" activeCell="E73" sqref="E73"/>
    </sheetView>
  </sheetViews>
  <sheetFormatPr defaultRowHeight="13.5"/>
  <cols>
    <col min="1" max="1" width="8.3828125" customWidth="1"/>
    <col min="2" max="2" width="85.765625" bestFit="1" customWidth="1"/>
    <col min="3" max="3" width="14.15234375" customWidth="1"/>
    <col min="4" max="8" width="11.15234375" customWidth="1"/>
    <col min="9" max="9" width="8.3828125" customWidth="1"/>
    <col min="10" max="10" width="12.84375" customWidth="1"/>
  </cols>
  <sheetData>
    <row r="1" spans="1:9" ht="20">
      <c r="A1" s="1170" t="s">
        <v>180</v>
      </c>
      <c r="B1" s="751"/>
      <c r="C1" s="752"/>
      <c r="D1" s="752"/>
      <c r="E1" s="752"/>
      <c r="F1" s="752"/>
      <c r="G1" s="752"/>
      <c r="H1" s="752"/>
      <c r="I1" s="1179"/>
    </row>
    <row r="2" spans="1:9" ht="20">
      <c r="A2" s="644" t="str">
        <f>Licensee</f>
        <v>NGET (TO)</v>
      </c>
      <c r="B2" s="639"/>
      <c r="C2" s="16"/>
      <c r="D2" s="16"/>
      <c r="E2" s="16"/>
      <c r="F2" s="16"/>
      <c r="G2" s="16"/>
      <c r="H2" s="16"/>
      <c r="I2" s="66"/>
    </row>
    <row r="3" spans="1:9" ht="20">
      <c r="A3" s="639">
        <f>Reporting_Year</f>
        <v>2022</v>
      </c>
      <c r="B3" s="976" t="str">
        <f>'R5 - Financing'!B3</f>
        <v/>
      </c>
      <c r="C3" s="963"/>
      <c r="D3" s="963"/>
      <c r="E3" s="963"/>
      <c r="F3" s="963"/>
      <c r="G3" s="963"/>
      <c r="H3" s="963"/>
      <c r="I3" s="120"/>
    </row>
    <row r="4" spans="1:9" ht="12.75" customHeight="1">
      <c r="A4" s="22"/>
      <c r="B4" s="22"/>
      <c r="C4" s="22"/>
      <c r="D4" s="22"/>
      <c r="E4" s="22"/>
      <c r="F4" s="22"/>
      <c r="G4" s="22"/>
      <c r="H4" s="22"/>
      <c r="I4" s="19"/>
    </row>
    <row r="5" spans="1:9" s="2" customFormat="1">
      <c r="B5" s="3"/>
      <c r="C5" s="3"/>
      <c r="D5" s="249" t="str">
        <f t="shared" ref="D5:H5" si="0">IF(D6&lt;=Reporting_Year,"Actuals","Forecast")</f>
        <v>Actuals</v>
      </c>
      <c r="E5" s="249" t="str">
        <f t="shared" si="0"/>
        <v>Forecast</v>
      </c>
      <c r="F5" s="249" t="str">
        <f t="shared" si="0"/>
        <v>Forecast</v>
      </c>
      <c r="G5" s="249" t="str">
        <f t="shared" si="0"/>
        <v>Forecast</v>
      </c>
      <c r="H5" s="249" t="str">
        <f t="shared" si="0"/>
        <v>Forecast</v>
      </c>
    </row>
    <row r="6" spans="1:9" s="2" customFormat="1">
      <c r="D6" s="63">
        <f>'RFPR cover'!$C$6</f>
        <v>2022</v>
      </c>
      <c r="E6" s="64">
        <f>D6+1</f>
        <v>2023</v>
      </c>
      <c r="F6" s="64">
        <f t="shared" ref="F6:H6" si="1">E6+1</f>
        <v>2024</v>
      </c>
      <c r="G6" s="64">
        <f t="shared" si="1"/>
        <v>2025</v>
      </c>
      <c r="H6" s="64">
        <f t="shared" si="1"/>
        <v>2026</v>
      </c>
    </row>
    <row r="7" spans="1:9"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807" t="str">
        <f>RIIO_2_start_date+3&amp;"/"&amp;RIGHT(RIIO_2_start_date+4,2)</f>
        <v>2025/26</v>
      </c>
    </row>
    <row r="8" spans="1:9" s="2" customFormat="1"/>
    <row r="9" spans="1:9" s="2" customFormat="1">
      <c r="B9" s="89" t="s">
        <v>877</v>
      </c>
      <c r="C9" s="76" t="s">
        <v>261</v>
      </c>
      <c r="D9" s="988">
        <v>-262.4978519</v>
      </c>
      <c r="E9" s="1038">
        <f>D11</f>
        <v>-510.72603506000002</v>
      </c>
      <c r="F9" s="1038">
        <f t="shared" ref="F9:H9" si="2">E11</f>
        <v>-513</v>
      </c>
      <c r="G9" s="1038">
        <f t="shared" si="2"/>
        <v>-513</v>
      </c>
      <c r="H9" s="1038">
        <f t="shared" si="2"/>
        <v>-513</v>
      </c>
    </row>
    <row r="10" spans="1:9" s="2" customFormat="1">
      <c r="B10" s="89"/>
    </row>
    <row r="11" spans="1:9">
      <c r="B11" s="89" t="s">
        <v>878</v>
      </c>
      <c r="C11" s="76" t="s">
        <v>261</v>
      </c>
      <c r="D11" s="450">
        <f>'R6a - Net Debt input'!T20</f>
        <v>-510.72603506000002</v>
      </c>
      <c r="E11" s="451">
        <f>'R6a - Net Debt input'!U20</f>
        <v>-513</v>
      </c>
      <c r="F11" s="451">
        <f>'R6a - Net Debt input'!V20</f>
        <v>-513</v>
      </c>
      <c r="G11" s="451">
        <f>'R6a - Net Debt input'!W20</f>
        <v>-513</v>
      </c>
      <c r="H11" s="451">
        <f>'R6a - Net Debt input'!X20</f>
        <v>-513</v>
      </c>
    </row>
    <row r="12" spans="1:9">
      <c r="B12" s="89" t="s">
        <v>879</v>
      </c>
      <c r="C12" s="76" t="s">
        <v>261</v>
      </c>
      <c r="D12" s="452">
        <f>'R6a - Net Debt input'!T113</f>
        <v>9135.1</v>
      </c>
      <c r="E12" s="453">
        <f>'R6a - Net Debt input'!U113</f>
        <v>9213.2370675028396</v>
      </c>
      <c r="F12" s="453">
        <f>'R6a - Net Debt input'!V113</f>
        <v>9127.1688103609958</v>
      </c>
      <c r="G12" s="453">
        <f>'R6a - Net Debt input'!W113</f>
        <v>8603.8976026164819</v>
      </c>
      <c r="H12" s="453">
        <f>'R6a - Net Debt input'!X113</f>
        <v>8604.2585764599207</v>
      </c>
    </row>
    <row r="13" spans="1:9">
      <c r="B13" s="89" t="s">
        <v>880</v>
      </c>
      <c r="C13" s="76" t="s">
        <v>261</v>
      </c>
      <c r="D13" s="452">
        <f>'R6a - Net Debt input'!T128</f>
        <v>2.2386409999999999</v>
      </c>
      <c r="E13" s="453">
        <f>'R6a - Net Debt input'!U128</f>
        <v>0</v>
      </c>
      <c r="F13" s="453">
        <f>'R6a - Net Debt input'!V128</f>
        <v>0</v>
      </c>
      <c r="G13" s="453">
        <f>'R6a - Net Debt input'!W128</f>
        <v>0</v>
      </c>
      <c r="H13" s="453">
        <f>'R6a - Net Debt input'!X128</f>
        <v>0</v>
      </c>
    </row>
    <row r="14" spans="1:9">
      <c r="B14" s="89" t="s">
        <v>881</v>
      </c>
      <c r="C14" s="76" t="s">
        <v>261</v>
      </c>
      <c r="D14" s="452">
        <f>'R6a - Net Debt input'!T143</f>
        <v>-484</v>
      </c>
      <c r="E14" s="453">
        <f>'R6a - Net Debt input'!U143</f>
        <v>0</v>
      </c>
      <c r="F14" s="453">
        <f>'R6a - Net Debt input'!V143</f>
        <v>0</v>
      </c>
      <c r="G14" s="453">
        <f>'R6a - Net Debt input'!W143</f>
        <v>0</v>
      </c>
      <c r="H14" s="453">
        <f>'R6a - Net Debt input'!X143</f>
        <v>0</v>
      </c>
      <c r="I14" s="1225"/>
    </row>
    <row r="15" spans="1:9">
      <c r="B15" s="89" t="s">
        <v>882</v>
      </c>
      <c r="C15" s="76" t="s">
        <v>261</v>
      </c>
      <c r="D15" s="452">
        <f>'R6a - Net Debt input'!T158</f>
        <v>0</v>
      </c>
      <c r="E15" s="453">
        <f>'R6a - Net Debt input'!U158</f>
        <v>0</v>
      </c>
      <c r="F15" s="453">
        <f>'R6a - Net Debt input'!V158</f>
        <v>0</v>
      </c>
      <c r="G15" s="453">
        <f>'R6a - Net Debt input'!W158</f>
        <v>0</v>
      </c>
      <c r="H15" s="453">
        <f>'R6a - Net Debt input'!X158</f>
        <v>0</v>
      </c>
    </row>
    <row r="16" spans="1:9">
      <c r="B16" s="89" t="s">
        <v>883</v>
      </c>
      <c r="C16" s="76" t="s">
        <v>261</v>
      </c>
      <c r="D16" s="452">
        <f>'R6a - Net Debt input'!T174</f>
        <v>0</v>
      </c>
      <c r="E16" s="453">
        <f>'R6a - Net Debt input'!U174</f>
        <v>0</v>
      </c>
      <c r="F16" s="453">
        <f>'R6a - Net Debt input'!V174</f>
        <v>0</v>
      </c>
      <c r="G16" s="453">
        <f>'R6a - Net Debt input'!W174</f>
        <v>0</v>
      </c>
      <c r="H16" s="453">
        <f>'R6a - Net Debt input'!X174</f>
        <v>0</v>
      </c>
      <c r="I16" s="1291"/>
    </row>
    <row r="17" spans="2:10">
      <c r="B17" s="89" t="s">
        <v>884</v>
      </c>
      <c r="C17" s="76" t="s">
        <v>261</v>
      </c>
      <c r="D17" s="452">
        <f>'R6a - Net Debt input'!T226</f>
        <v>196.49999999999997</v>
      </c>
      <c r="E17" s="453">
        <f>'R6a - Net Debt input'!U226</f>
        <v>193.09999999999997</v>
      </c>
      <c r="F17" s="453">
        <f>'R6a - Net Debt input'!V226</f>
        <v>179.10906523000003</v>
      </c>
      <c r="G17" s="453">
        <f>'R6a - Net Debt input'!W226</f>
        <v>134.68713115000003</v>
      </c>
      <c r="H17" s="453">
        <f>'R6a - Net Debt input'!X226</f>
        <v>119.28381177000003</v>
      </c>
    </row>
    <row r="18" spans="2:10">
      <c r="B18" s="89" t="s">
        <v>885</v>
      </c>
      <c r="C18" s="76" t="s">
        <v>261</v>
      </c>
      <c r="D18" s="452">
        <f>'R6a - Net Debt input'!T332</f>
        <v>8.2999999999999954</v>
      </c>
      <c r="E18" s="453">
        <f>'R6a - Net Debt input'!U332</f>
        <v>17.999999999999989</v>
      </c>
      <c r="F18" s="453">
        <f>'R6a - Net Debt input'!V332</f>
        <v>15.924969839999997</v>
      </c>
      <c r="G18" s="453">
        <f>'R6a - Net Debt input'!W332</f>
        <v>12.991122529999998</v>
      </c>
      <c r="H18" s="453">
        <f>'R6a - Net Debt input'!X332</f>
        <v>11.10415196999999</v>
      </c>
    </row>
    <row r="19" spans="2:10">
      <c r="B19" s="89" t="s">
        <v>886</v>
      </c>
      <c r="C19" s="76" t="s">
        <v>261</v>
      </c>
      <c r="D19" s="452">
        <f>'R6a - Net Debt input'!T436</f>
        <v>187</v>
      </c>
      <c r="E19" s="453">
        <f>'R6a - Net Debt input'!U436</f>
        <v>207.38917062927615</v>
      </c>
      <c r="F19" s="453">
        <f>'R6a - Net Debt input'!V436</f>
        <v>216.91436948698055</v>
      </c>
      <c r="G19" s="453">
        <f>'R6a - Net Debt input'!W436</f>
        <v>222.25371436020055</v>
      </c>
      <c r="H19" s="453">
        <f>'R6a - Net Debt input'!X436</f>
        <v>227.97662722454228</v>
      </c>
    </row>
    <row r="20" spans="2:10">
      <c r="B20" s="89" t="s">
        <v>887</v>
      </c>
      <c r="C20" s="76" t="s">
        <v>261</v>
      </c>
      <c r="D20" s="452">
        <f>'R6a - Net Debt input'!T459</f>
        <v>0</v>
      </c>
      <c r="E20" s="453">
        <f>'R6a - Net Debt input'!U459</f>
        <v>0</v>
      </c>
      <c r="F20" s="453">
        <f>'R6a - Net Debt input'!V459</f>
        <v>0</v>
      </c>
      <c r="G20" s="453">
        <f>'R6a - Net Debt input'!W459</f>
        <v>0</v>
      </c>
      <c r="H20" s="453">
        <f>'R6a - Net Debt input'!X459</f>
        <v>0</v>
      </c>
    </row>
    <row r="21" spans="2:10">
      <c r="B21" s="89" t="s">
        <v>888</v>
      </c>
      <c r="C21" s="76" t="s">
        <v>261</v>
      </c>
      <c r="D21" s="452">
        <f>'R6a - Net Debt input'!T477</f>
        <v>0</v>
      </c>
      <c r="E21" s="453">
        <f>'R6a - Net Debt input'!U477</f>
        <v>0</v>
      </c>
      <c r="F21" s="453">
        <f>'R6a - Net Debt input'!V477</f>
        <v>0</v>
      </c>
      <c r="G21" s="453">
        <f>'R6a - Net Debt input'!W477</f>
        <v>0</v>
      </c>
      <c r="H21" s="453">
        <f>'R6a - Net Debt input'!X477</f>
        <v>0</v>
      </c>
    </row>
    <row r="22" spans="2:10">
      <c r="B22" s="89" t="s">
        <v>889</v>
      </c>
      <c r="C22" s="76" t="s">
        <v>261</v>
      </c>
      <c r="D22" s="452">
        <f>'R6a - Net Debt input'!T504</f>
        <v>49.800000000000004</v>
      </c>
      <c r="E22" s="453">
        <f>'R6a - Net Debt input'!U504</f>
        <v>49.800000000000004</v>
      </c>
      <c r="F22" s="453">
        <f>'R6a - Net Debt input'!V504</f>
        <v>49.800000000000004</v>
      </c>
      <c r="G22" s="453">
        <f>'R6a - Net Debt input'!W504</f>
        <v>49.800000000000004</v>
      </c>
      <c r="H22" s="453">
        <f>'R6a - Net Debt input'!X504</f>
        <v>49.800000000000004</v>
      </c>
    </row>
    <row r="23" spans="2:10">
      <c r="B23" s="89" t="s">
        <v>890</v>
      </c>
      <c r="C23" s="76" t="s">
        <v>261</v>
      </c>
      <c r="D23" s="452">
        <f>'R6a - Net Debt input'!T520</f>
        <v>0</v>
      </c>
      <c r="E23" s="453">
        <f>'R6a - Net Debt input'!U520</f>
        <v>0</v>
      </c>
      <c r="F23" s="453">
        <f>'R6a - Net Debt input'!V520</f>
        <v>0</v>
      </c>
      <c r="G23" s="453">
        <f>'R6a - Net Debt input'!W520</f>
        <v>0</v>
      </c>
      <c r="H23" s="453">
        <f>'R6a - Net Debt input'!X520</f>
        <v>0</v>
      </c>
    </row>
    <row r="24" spans="2:10">
      <c r="B24" s="6" t="s">
        <v>891</v>
      </c>
      <c r="C24" s="110" t="s">
        <v>261</v>
      </c>
      <c r="D24" s="454">
        <f>SUM(D11:D23)</f>
        <v>8584.212605939998</v>
      </c>
      <c r="E24" s="454">
        <f t="shared" ref="E24:H24" si="3">SUM(E11:E23)</f>
        <v>9168.5262381321154</v>
      </c>
      <c r="F24" s="454">
        <f t="shared" si="3"/>
        <v>9075.9172149179758</v>
      </c>
      <c r="G24" s="454">
        <f t="shared" si="3"/>
        <v>8510.6295706566816</v>
      </c>
      <c r="H24" s="454">
        <f t="shared" si="3"/>
        <v>8499.4231674244602</v>
      </c>
      <c r="I24" s="2"/>
      <c r="J24" s="124"/>
    </row>
    <row r="25" spans="2:10">
      <c r="B25" s="6"/>
      <c r="C25" s="76"/>
      <c r="D25" s="113"/>
      <c r="E25" s="113"/>
      <c r="F25" s="113"/>
      <c r="G25" s="113"/>
      <c r="H25" s="113"/>
      <c r="I25" s="2"/>
      <c r="J25" s="2"/>
    </row>
    <row r="26" spans="2:10">
      <c r="B26" s="6" t="s">
        <v>892</v>
      </c>
      <c r="C26" s="8"/>
      <c r="D26" s="114"/>
      <c r="E26" s="114"/>
      <c r="F26" s="114"/>
      <c r="G26" s="114"/>
      <c r="H26" s="114"/>
      <c r="I26" s="2"/>
      <c r="J26" s="2"/>
    </row>
    <row r="27" spans="2:10">
      <c r="B27" s="183" t="str">
        <f>'R6a - Net Debt input'!D550</f>
        <v>Unamortised Issue Costs</v>
      </c>
      <c r="C27" s="76" t="s">
        <v>261</v>
      </c>
      <c r="D27" s="175">
        <f>'R6a - Net Debt input'!T550</f>
        <v>0</v>
      </c>
      <c r="E27" s="175">
        <f>'R6a - Net Debt input'!U550</f>
        <v>0</v>
      </c>
      <c r="F27" s="175">
        <f>'R6a - Net Debt input'!V550</f>
        <v>0</v>
      </c>
      <c r="G27" s="175">
        <f>'R6a - Net Debt input'!W550</f>
        <v>0</v>
      </c>
      <c r="H27" s="175">
        <f>'R6a - Net Debt input'!X550</f>
        <v>0</v>
      </c>
      <c r="I27" s="2"/>
      <c r="J27" s="2"/>
    </row>
    <row r="28" spans="2:10">
      <c r="B28" s="183" t="str">
        <f>'R6a - Net Debt input'!D551</f>
        <v>Fixed asset investments not readily convertible to cash</v>
      </c>
      <c r="C28" s="76" t="s">
        <v>261</v>
      </c>
      <c r="D28" s="175">
        <f>'R6a - Net Debt input'!T551</f>
        <v>0</v>
      </c>
      <c r="E28" s="186">
        <f>'R6a - Net Debt input'!U551</f>
        <v>0</v>
      </c>
      <c r="F28" s="186">
        <f>'R6a - Net Debt input'!V551</f>
        <v>0</v>
      </c>
      <c r="G28" s="186">
        <f>'R6a - Net Debt input'!W551</f>
        <v>0</v>
      </c>
      <c r="H28" s="186">
        <f>'R6a - Net Debt input'!X551</f>
        <v>0</v>
      </c>
      <c r="I28" s="2"/>
      <c r="J28" s="2"/>
    </row>
    <row r="29" spans="2:10">
      <c r="B29" s="183" t="str">
        <f>'R6a - Net Debt input'!D552</f>
        <v>Preference shares</v>
      </c>
      <c r="C29" s="76" t="s">
        <v>261</v>
      </c>
      <c r="D29" s="175">
        <f>'R6a - Net Debt input'!T552</f>
        <v>0</v>
      </c>
      <c r="E29" s="186">
        <f>'R6a - Net Debt input'!U552</f>
        <v>0</v>
      </c>
      <c r="F29" s="186">
        <f>'R6a - Net Debt input'!V552</f>
        <v>0</v>
      </c>
      <c r="G29" s="186">
        <f>'R6a - Net Debt input'!W552</f>
        <v>0</v>
      </c>
      <c r="H29" s="186">
        <f>'R6a - Net Debt input'!X552</f>
        <v>0</v>
      </c>
      <c r="I29" s="2"/>
      <c r="J29" s="2"/>
    </row>
    <row r="30" spans="2:10">
      <c r="B30" s="183" t="str">
        <f>'R6a - Net Debt input'!D553</f>
        <v>Long term loans (Not for benefit of regulated business or distribution in nature)</v>
      </c>
      <c r="C30" s="76" t="s">
        <v>261</v>
      </c>
      <c r="D30" s="175">
        <f>'R6a - Net Debt input'!T553</f>
        <v>0</v>
      </c>
      <c r="E30" s="186">
        <f>'R6a - Net Debt input'!U553</f>
        <v>0</v>
      </c>
      <c r="F30" s="186">
        <f>'R6a - Net Debt input'!V553</f>
        <v>0</v>
      </c>
      <c r="G30" s="186">
        <f>'R6a - Net Debt input'!W553</f>
        <v>0</v>
      </c>
      <c r="H30" s="186">
        <f>'R6a - Net Debt input'!X553</f>
        <v>0</v>
      </c>
      <c r="I30" s="2"/>
      <c r="J30" s="2"/>
    </row>
    <row r="31" spans="2:10">
      <c r="B31" s="183" t="str">
        <f>'R6a - Net Debt input'!D554</f>
        <v>1. Fair value adjustments</v>
      </c>
      <c r="C31" s="76" t="s">
        <v>261</v>
      </c>
      <c r="D31" s="175">
        <f>'R6a - Net Debt input'!T554</f>
        <v>78.144000000000005</v>
      </c>
      <c r="E31" s="186">
        <f>'R6a - Net Debt input'!U554</f>
        <v>78.144000000000005</v>
      </c>
      <c r="F31" s="186">
        <f>'R6a - Net Debt input'!V554</f>
        <v>78.144000000000005</v>
      </c>
      <c r="G31" s="186">
        <f>'R6a - Net Debt input'!W554</f>
        <v>78.144000000000005</v>
      </c>
      <c r="H31" s="186">
        <f>'R6a - Net Debt input'!X554</f>
        <v>78.144000000000005</v>
      </c>
      <c r="I31" s="2"/>
      <c r="J31" s="2"/>
    </row>
    <row r="32" spans="2:10">
      <c r="B32" s="183" t="str">
        <f>'R6a - Net Debt input'!D555</f>
        <v>2. Accrued interest</v>
      </c>
      <c r="C32" s="76" t="s">
        <v>261</v>
      </c>
      <c r="D32" s="175">
        <f>'R6a - Net Debt input'!T555</f>
        <v>-69.541119960000003</v>
      </c>
      <c r="E32" s="186">
        <f>'R6a - Net Debt input'!U555</f>
        <v>-69.541119960000003</v>
      </c>
      <c r="F32" s="186">
        <f>'R6a - Net Debt input'!V555</f>
        <v>-69.541119960000003</v>
      </c>
      <c r="G32" s="186">
        <f>'R6a - Net Debt input'!W555</f>
        <v>-69.541119960000003</v>
      </c>
      <c r="H32" s="186">
        <f>'R6a - Net Debt input'!X555</f>
        <v>-69.541119960000003</v>
      </c>
      <c r="I32" s="2"/>
      <c r="J32" s="2"/>
    </row>
    <row r="33" spans="2:11" ht="12.75" customHeight="1">
      <c r="B33" s="183" t="str">
        <f>'R6a - Net Debt input'!D556</f>
        <v>3. Derivatives - other than cross currency swaps</v>
      </c>
      <c r="C33" s="76" t="s">
        <v>261</v>
      </c>
      <c r="D33" s="175">
        <f>'R6a - Net Debt input'!T556</f>
        <v>-196.99999999999997</v>
      </c>
      <c r="E33" s="186">
        <f>'R6a - Net Debt input'!U556</f>
        <v>-227.08917062927614</v>
      </c>
      <c r="F33" s="186">
        <f>'R6a - Net Debt input'!V556</f>
        <v>-234.53933932698052</v>
      </c>
      <c r="G33" s="186">
        <f>'R6a - Net Debt input'!W556</f>
        <v>-236.94483689020052</v>
      </c>
      <c r="H33" s="186">
        <f>'R6a - Net Debt input'!X556</f>
        <v>-240.78077919454228</v>
      </c>
      <c r="I33" s="2"/>
      <c r="J33" s="2"/>
    </row>
    <row r="34" spans="2:11">
      <c r="B34" s="183" t="str">
        <f>'R6a - Net Debt input'!D557</f>
        <v>4. Rounding</v>
      </c>
      <c r="C34" s="76" t="s">
        <v>261</v>
      </c>
      <c r="D34" s="175">
        <f>'R6a - Net Debt input'!T557</f>
        <v>0</v>
      </c>
      <c r="E34" s="186">
        <f>'R6a - Net Debt input'!U557</f>
        <v>0</v>
      </c>
      <c r="F34" s="186">
        <f>'R6a - Net Debt input'!V557</f>
        <v>0</v>
      </c>
      <c r="G34" s="186">
        <f>'R6a - Net Debt input'!W557</f>
        <v>0</v>
      </c>
      <c r="H34" s="186">
        <f>'R6a - Net Debt input'!X557</f>
        <v>0</v>
      </c>
      <c r="I34" s="2"/>
      <c r="J34" s="2"/>
    </row>
    <row r="35" spans="2:11">
      <c r="B35" s="183" t="str">
        <f>'R6a - Net Debt input'!D558</f>
        <v>5. IFRS 16 Right of Use Lease Liability</v>
      </c>
      <c r="C35" s="76" t="s">
        <v>261</v>
      </c>
      <c r="D35" s="175">
        <f>'R6a - Net Debt input'!T558</f>
        <v>-65</v>
      </c>
      <c r="E35" s="186">
        <f>'R6a - Net Debt input'!U558</f>
        <v>-65</v>
      </c>
      <c r="F35" s="186">
        <f>'R6a - Net Debt input'!V558</f>
        <v>-65</v>
      </c>
      <c r="G35" s="186">
        <f>'R6a - Net Debt input'!W558</f>
        <v>-65</v>
      </c>
      <c r="H35" s="186">
        <f>'R6a - Net Debt input'!X558</f>
        <v>-65</v>
      </c>
      <c r="I35" s="2"/>
      <c r="J35" s="2"/>
    </row>
    <row r="36" spans="2:11">
      <c r="B36" s="183" t="str">
        <f>'R6a - Net Debt input'!D559</f>
        <v>6. [Insert adjustment as necessary]</v>
      </c>
      <c r="C36" s="76" t="s">
        <v>261</v>
      </c>
      <c r="D36" s="175">
        <f>'R6a - Net Debt input'!T559</f>
        <v>0</v>
      </c>
      <c r="E36" s="186">
        <f>'R6a - Net Debt input'!U559</f>
        <v>0</v>
      </c>
      <c r="F36" s="186">
        <f>'R6a - Net Debt input'!V559</f>
        <v>0</v>
      </c>
      <c r="G36" s="186">
        <f>'R6a - Net Debt input'!W559</f>
        <v>0</v>
      </c>
      <c r="H36" s="186">
        <f>'R6a - Net Debt input'!X559</f>
        <v>0</v>
      </c>
      <c r="I36" s="2"/>
      <c r="J36" s="2"/>
    </row>
    <row r="37" spans="2:11">
      <c r="B37" s="183" t="str">
        <f>'R6a - Net Debt input'!D560</f>
        <v>7. [Insert adjustment as necessary]</v>
      </c>
      <c r="C37" s="76" t="s">
        <v>261</v>
      </c>
      <c r="D37" s="175">
        <f>'R6a - Net Debt input'!T560</f>
        <v>0</v>
      </c>
      <c r="E37" s="186">
        <f>'R6a - Net Debt input'!U560</f>
        <v>0</v>
      </c>
      <c r="F37" s="186">
        <f>'R6a - Net Debt input'!V560</f>
        <v>0</v>
      </c>
      <c r="G37" s="186">
        <f>'R6a - Net Debt input'!W560</f>
        <v>0</v>
      </c>
      <c r="H37" s="186">
        <f>'R6a - Net Debt input'!X560</f>
        <v>0</v>
      </c>
      <c r="I37" s="2"/>
      <c r="J37" s="2"/>
    </row>
    <row r="38" spans="2:11">
      <c r="B38" s="183" t="str">
        <f>'R6a - Net Debt input'!D561</f>
        <v>8. [Insert adjustment as necessary]</v>
      </c>
      <c r="C38" s="76" t="s">
        <v>261</v>
      </c>
      <c r="D38" s="175">
        <f>'R6a - Net Debt input'!T561</f>
        <v>0</v>
      </c>
      <c r="E38" s="186">
        <f>'R6a - Net Debt input'!U561</f>
        <v>0</v>
      </c>
      <c r="F38" s="186">
        <f>'R6a - Net Debt input'!V561</f>
        <v>0</v>
      </c>
      <c r="G38" s="186">
        <f>'R6a - Net Debt input'!W561</f>
        <v>0</v>
      </c>
      <c r="H38" s="186">
        <f>'R6a - Net Debt input'!X561</f>
        <v>0</v>
      </c>
      <c r="I38" s="2"/>
      <c r="J38" s="2"/>
      <c r="K38" s="652"/>
    </row>
    <row r="39" spans="2:11">
      <c r="B39" s="183" t="str">
        <f>'R6a - Net Debt input'!D562</f>
        <v>9. [Insert adjustment as necessary]</v>
      </c>
      <c r="C39" s="76" t="s">
        <v>261</v>
      </c>
      <c r="D39" s="175">
        <f>'R6a - Net Debt input'!T562</f>
        <v>0</v>
      </c>
      <c r="E39" s="186">
        <f>'R6a - Net Debt input'!U562</f>
        <v>0</v>
      </c>
      <c r="F39" s="186">
        <f>'R6a - Net Debt input'!V562</f>
        <v>0</v>
      </c>
      <c r="G39" s="186">
        <f>'R6a - Net Debt input'!W562</f>
        <v>0</v>
      </c>
      <c r="H39" s="186">
        <f>'R6a - Net Debt input'!X562</f>
        <v>0</v>
      </c>
    </row>
    <row r="40" spans="2:11">
      <c r="B40" s="183" t="str">
        <f>'R6a - Net Debt input'!D563</f>
        <v>10. [Insert adjustment as necessary]</v>
      </c>
      <c r="C40" s="76" t="s">
        <v>261</v>
      </c>
      <c r="D40" s="175">
        <f>'R6a - Net Debt input'!T563</f>
        <v>0</v>
      </c>
      <c r="E40" s="186">
        <f>'R6a - Net Debt input'!U563</f>
        <v>0</v>
      </c>
      <c r="F40" s="186">
        <f>'R6a - Net Debt input'!V563</f>
        <v>0</v>
      </c>
      <c r="G40" s="186">
        <f>'R6a - Net Debt input'!W563</f>
        <v>0</v>
      </c>
      <c r="H40" s="186">
        <f>'R6a - Net Debt input'!X563</f>
        <v>0</v>
      </c>
    </row>
    <row r="41" spans="2:11">
      <c r="B41" s="183" t="str">
        <f>'R6a - Net Debt input'!D564</f>
        <v>11. [Insert adjustment as necessary]</v>
      </c>
      <c r="C41" s="76" t="s">
        <v>261</v>
      </c>
      <c r="D41" s="175">
        <f>'R6a - Net Debt input'!T564</f>
        <v>0</v>
      </c>
      <c r="E41" s="186">
        <f>'R6a - Net Debt input'!U564</f>
        <v>0</v>
      </c>
      <c r="F41" s="186">
        <f>'R6a - Net Debt input'!V564</f>
        <v>0</v>
      </c>
      <c r="G41" s="186">
        <f>'R6a - Net Debt input'!W564</f>
        <v>0</v>
      </c>
      <c r="H41" s="186">
        <f>'R6a - Net Debt input'!X564</f>
        <v>0</v>
      </c>
    </row>
    <row r="42" spans="2:11">
      <c r="B42" s="183" t="str">
        <f>'R6a - Net Debt input'!D565</f>
        <v>12. [Insert adjustment as necessary]</v>
      </c>
      <c r="C42" s="76" t="s">
        <v>261</v>
      </c>
      <c r="D42" s="187">
        <f>'R6a - Net Debt input'!T565</f>
        <v>0</v>
      </c>
      <c r="E42" s="188">
        <f>'R6a - Net Debt input'!U565</f>
        <v>0</v>
      </c>
      <c r="F42" s="188">
        <f>'R6a - Net Debt input'!V565</f>
        <v>0</v>
      </c>
      <c r="G42" s="188">
        <f>'R6a - Net Debt input'!W565</f>
        <v>0</v>
      </c>
      <c r="H42" s="188">
        <f>'R6a - Net Debt input'!X565</f>
        <v>0</v>
      </c>
    </row>
    <row r="43" spans="2:11">
      <c r="B43" s="729" t="s">
        <v>893</v>
      </c>
      <c r="C43" s="76" t="s">
        <v>261</v>
      </c>
      <c r="D43" s="457">
        <f>SUM(D24,D27:D42)</f>
        <v>8330.8154859799979</v>
      </c>
      <c r="E43" s="457">
        <f t="shared" ref="E43:H43" si="4">SUM(E24,E27:E42)</f>
        <v>8885.0399475428385</v>
      </c>
      <c r="F43" s="457">
        <f t="shared" si="4"/>
        <v>8784.9807556309952</v>
      </c>
      <c r="G43" s="457">
        <f t="shared" si="4"/>
        <v>8217.2876138064803</v>
      </c>
      <c r="H43" s="457">
        <f t="shared" si="4"/>
        <v>8202.2452682699186</v>
      </c>
    </row>
    <row r="44" spans="2:11">
      <c r="B44" s="184" t="s">
        <v>894</v>
      </c>
      <c r="C44" s="76" t="s">
        <v>261</v>
      </c>
      <c r="D44" s="920"/>
      <c r="E44" s="549">
        <v>400</v>
      </c>
      <c r="F44" s="549">
        <v>1400</v>
      </c>
      <c r="G44" s="549">
        <v>2000</v>
      </c>
      <c r="H44" s="549">
        <v>3000</v>
      </c>
    </row>
    <row r="45" spans="2:11">
      <c r="B45" s="729" t="s">
        <v>895</v>
      </c>
      <c r="C45" s="76" t="s">
        <v>261</v>
      </c>
      <c r="D45" s="47">
        <f>SUM(D43:D44)</f>
        <v>8330.8154859799979</v>
      </c>
      <c r="E45" s="48">
        <f t="shared" ref="E45:H45" si="5">SUM(E43:E44)</f>
        <v>9285.0399475428385</v>
      </c>
      <c r="F45" s="48">
        <f t="shared" si="5"/>
        <v>10184.980755630995</v>
      </c>
      <c r="G45" s="48">
        <f t="shared" si="5"/>
        <v>10217.28761380648</v>
      </c>
      <c r="H45" s="48">
        <f t="shared" si="5"/>
        <v>11202.245268269919</v>
      </c>
    </row>
    <row r="46" spans="2:11">
      <c r="D46" s="104" t="str">
        <f>IF(ABS(D43-'R6a - Net Debt input'!T566)&lt;Data!$F$7,"OK","Error")</f>
        <v>OK</v>
      </c>
      <c r="E46" s="105" t="str">
        <f>IF(ABS(E43-'R6a - Net Debt input'!U566)&lt;Data!$F$7,"OK","Error")</f>
        <v>OK</v>
      </c>
      <c r="F46" s="105" t="str">
        <f>IF(ABS(F43-'R6a - Net Debt input'!V566)&lt;Data!$F$7,"OK","Error")</f>
        <v>OK</v>
      </c>
      <c r="G46" s="105" t="str">
        <f>IF(ABS(G43-'R6a - Net Debt input'!W566)&lt;Data!$F$7,"OK","Error")</f>
        <v>OK</v>
      </c>
      <c r="H46" s="105" t="str">
        <f>IF(ABS(H43-'R6a - Net Debt input'!X566)&lt;Data!$F$7,"OK","Error")</f>
        <v>OK</v>
      </c>
    </row>
    <row r="47" spans="2:11">
      <c r="D47" s="1225"/>
    </row>
    <row r="48" spans="2:11">
      <c r="B48" s="730" t="s">
        <v>896</v>
      </c>
      <c r="C48" s="76" t="s">
        <v>261</v>
      </c>
      <c r="D48" s="549">
        <v>8036.3746550999995</v>
      </c>
      <c r="E48" s="48">
        <f>D49</f>
        <v>8330.8154859799979</v>
      </c>
      <c r="F48" s="48">
        <f t="shared" ref="F48:H48" si="6">E49</f>
        <v>9285.0399475428385</v>
      </c>
      <c r="G48" s="48">
        <f t="shared" si="6"/>
        <v>10184.980755630995</v>
      </c>
      <c r="H48" s="48">
        <f t="shared" si="6"/>
        <v>10217.28761380648</v>
      </c>
      <c r="I48" s="91"/>
    </row>
    <row r="49" spans="2:10">
      <c r="B49" s="730" t="s">
        <v>897</v>
      </c>
      <c r="C49" s="76" t="s">
        <v>261</v>
      </c>
      <c r="D49" s="425">
        <f>D45</f>
        <v>8330.8154859799979</v>
      </c>
      <c r="E49" s="426">
        <f>E45</f>
        <v>9285.0399475428385</v>
      </c>
      <c r="F49" s="426">
        <f t="shared" ref="F49:H49" si="7">F45</f>
        <v>10184.980755630995</v>
      </c>
      <c r="G49" s="426">
        <f t="shared" si="7"/>
        <v>10217.28761380648</v>
      </c>
      <c r="H49" s="426">
        <f t="shared" si="7"/>
        <v>11202.245268269919</v>
      </c>
      <c r="I49" s="91"/>
    </row>
    <row r="50" spans="2:10">
      <c r="D50" s="12"/>
      <c r="E50" s="12"/>
      <c r="F50" s="12"/>
      <c r="G50" s="12"/>
      <c r="H50" s="12"/>
    </row>
    <row r="51" spans="2:10">
      <c r="B51" s="6" t="s">
        <v>898</v>
      </c>
    </row>
    <row r="52" spans="2:10">
      <c r="B52" t="s">
        <v>899</v>
      </c>
      <c r="C52" s="91" t="s">
        <v>225</v>
      </c>
      <c r="D52" s="784">
        <f>'R6a - Net Debt input'!T569</f>
        <v>0</v>
      </c>
      <c r="E52" s="785">
        <f>'R6a - Net Debt input'!U569</f>
        <v>0</v>
      </c>
      <c r="F52" s="785">
        <f>'R6a - Net Debt input'!V569</f>
        <v>0</v>
      </c>
      <c r="G52" s="785">
        <f>'R6a - Net Debt input'!W569</f>
        <v>0</v>
      </c>
      <c r="H52" s="785">
        <f>'R6a - Net Debt input'!X569</f>
        <v>0</v>
      </c>
    </row>
    <row r="53" spans="2:10">
      <c r="B53" t="s">
        <v>832</v>
      </c>
      <c r="C53" s="91" t="s">
        <v>225</v>
      </c>
      <c r="D53" s="398">
        <f>1-D52</f>
        <v>1</v>
      </c>
      <c r="E53" s="399">
        <f t="shared" ref="E53:H53" si="8">1-E52</f>
        <v>1</v>
      </c>
      <c r="F53" s="399">
        <f t="shared" si="8"/>
        <v>1</v>
      </c>
      <c r="G53" s="399">
        <f t="shared" si="8"/>
        <v>1</v>
      </c>
      <c r="H53" s="399">
        <f t="shared" si="8"/>
        <v>1</v>
      </c>
      <c r="J53" s="652"/>
    </row>
    <row r="54" spans="2:10">
      <c r="C54" s="91"/>
      <c r="D54" s="91"/>
      <c r="E54" s="91"/>
      <c r="F54" s="91"/>
      <c r="G54" s="91"/>
      <c r="H54" s="91"/>
      <c r="I54" s="91"/>
    </row>
    <row r="55" spans="2:10">
      <c r="B55" t="s">
        <v>900</v>
      </c>
      <c r="C55" s="76" t="s">
        <v>261</v>
      </c>
      <c r="D55" s="458">
        <f>AVERAGE(D48:D49)*D53</f>
        <v>8183.5950705399991</v>
      </c>
      <c r="E55" s="459">
        <f t="shared" ref="E55:H55" si="9">AVERAGE(E48:E49)*E53</f>
        <v>8807.9277167614182</v>
      </c>
      <c r="F55" s="459">
        <f t="shared" si="9"/>
        <v>9735.0103515869159</v>
      </c>
      <c r="G55" s="459">
        <f t="shared" si="9"/>
        <v>10201.134184718738</v>
      </c>
      <c r="H55" s="459">
        <f t="shared" si="9"/>
        <v>10709.766441038199</v>
      </c>
    </row>
    <row r="56" spans="2:10">
      <c r="B56" t="s">
        <v>901</v>
      </c>
      <c r="C56" s="76" t="s">
        <v>261</v>
      </c>
      <c r="D56" s="455">
        <f>D57-D55</f>
        <v>7144.1934359192983</v>
      </c>
      <c r="E56" s="456">
        <f>E57-E55</f>
        <v>7936.1049184796848</v>
      </c>
      <c r="F56" s="456">
        <f t="shared" ref="F56:H56" si="10">F57-F55</f>
        <v>8216.3486961684794</v>
      </c>
      <c r="G56" s="456">
        <f t="shared" si="10"/>
        <v>8583.9689749304434</v>
      </c>
      <c r="H56" s="456">
        <f t="shared" si="10"/>
        <v>8922.4158717952159</v>
      </c>
    </row>
    <row r="57" spans="2:10">
      <c r="B57" t="s">
        <v>902</v>
      </c>
      <c r="C57" s="76" t="s">
        <v>261</v>
      </c>
      <c r="D57" s="588">
        <f>IF(D6=RIIO_2_start_date,AVERAGE(('R7 - RAV'!E15*'R7 - RAV'!E30),'R7 - RAV'!E32),AVERAGE('R7 - RAV'!D32:E32))</f>
        <v>15327.788506459297</v>
      </c>
      <c r="E57" s="588">
        <f>IF(E6=RIIO_2_start_date,AVERAGE(('R7 - RAV'!F15*'R7 - RAV'!F30),'R7 - RAV'!F32),AVERAGE('R7 - RAV'!E32:F32))</f>
        <v>16744.032635241103</v>
      </c>
      <c r="F57" s="588">
        <f>IF(F6=RIIO_2_start_date,AVERAGE(('R7 - RAV'!G15*'R7 - RAV'!G30),'R7 - RAV'!G32),AVERAGE('R7 - RAV'!F32:G32))</f>
        <v>17951.359047755395</v>
      </c>
      <c r="G57" s="588">
        <f>IF(G6=RIIO_2_start_date,AVERAGE(('R7 - RAV'!H15*'R7 - RAV'!H30),'R7 - RAV'!H32),AVERAGE('R7 - RAV'!G32:H32))</f>
        <v>18785.103159649181</v>
      </c>
      <c r="H57" s="588">
        <f>IF(H6=RIIO_2_start_date,AVERAGE(('R7 - RAV'!I15*'R7 - RAV'!I30),'R7 - RAV'!I32),AVERAGE('R7 - RAV'!H32:I32))</f>
        <v>19632.182312833414</v>
      </c>
    </row>
    <row r="58" spans="2:10">
      <c r="B58" t="s">
        <v>903</v>
      </c>
      <c r="C58" s="76" t="s">
        <v>225</v>
      </c>
      <c r="D58" s="108">
        <f>D55/D57</f>
        <v>0.53390579254739479</v>
      </c>
      <c r="E58" s="109">
        <f t="shared" ref="E58:H58" si="11">E55/E57</f>
        <v>0.52603383597230968</v>
      </c>
      <c r="F58" s="109">
        <f t="shared" si="11"/>
        <v>0.54229935046640176</v>
      </c>
      <c r="G58" s="109">
        <f t="shared" si="11"/>
        <v>0.54304382030922249</v>
      </c>
      <c r="H58" s="109">
        <f t="shared" si="11"/>
        <v>0.54552093447284777</v>
      </c>
    </row>
    <row r="59" spans="2:10">
      <c r="B59" t="s">
        <v>24</v>
      </c>
      <c r="C59" s="76" t="s">
        <v>225</v>
      </c>
      <c r="D59" s="589">
        <f>Data!$C$8</f>
        <v>0.55000000000000004</v>
      </c>
      <c r="E59" s="590">
        <f>Data!$C$8</f>
        <v>0.55000000000000004</v>
      </c>
      <c r="F59" s="590">
        <f>Data!$C$8</f>
        <v>0.55000000000000004</v>
      </c>
      <c r="G59" s="590">
        <f>Data!$C$8</f>
        <v>0.55000000000000004</v>
      </c>
      <c r="H59" s="590">
        <f>Data!$C$8</f>
        <v>0.55000000000000004</v>
      </c>
    </row>
    <row r="60" spans="2:10">
      <c r="B60" t="s">
        <v>904</v>
      </c>
      <c r="C60" s="76" t="s">
        <v>225</v>
      </c>
      <c r="D60" s="111">
        <f t="shared" ref="D60:H60" si="12">IF(ISBLANK(D24),"n/a",D58-D59)</f>
        <v>-1.6094207452605258E-2</v>
      </c>
      <c r="E60" s="112">
        <f t="shared" si="12"/>
        <v>-2.3966164027690362E-2</v>
      </c>
      <c r="F60" s="112">
        <f t="shared" si="12"/>
        <v>-7.7006495335982805E-3</v>
      </c>
      <c r="G60" s="112">
        <f t="shared" si="12"/>
        <v>-6.956179690777553E-3</v>
      </c>
      <c r="H60" s="112">
        <f t="shared" si="12"/>
        <v>-4.4790655271522706E-3</v>
      </c>
    </row>
    <row r="62" spans="2:10">
      <c r="B62" t="s">
        <v>905</v>
      </c>
      <c r="C62" s="39" t="str">
        <f>Data!$C$9</f>
        <v>£m 18/19</v>
      </c>
      <c r="D62" s="913">
        <f>D64*D58</f>
        <v>7385.4796305822238</v>
      </c>
      <c r="E62" s="682">
        <f t="shared" ref="E62:H62" si="13">E64*E58</f>
        <v>7472.9097153136017</v>
      </c>
      <c r="F62" s="682">
        <f t="shared" si="13"/>
        <v>7963.8635113831588</v>
      </c>
      <c r="G62" s="682">
        <f t="shared" si="13"/>
        <v>8188.8833631606749</v>
      </c>
      <c r="H62" s="682">
        <f t="shared" si="13"/>
        <v>8440.8607636299203</v>
      </c>
    </row>
    <row r="63" spans="2:10">
      <c r="B63" t="s">
        <v>906</v>
      </c>
      <c r="C63" s="39" t="str">
        <f>Data!$C$9</f>
        <v>£m 18/19</v>
      </c>
      <c r="D63" s="443">
        <f>D64*(1-D58)</f>
        <v>6447.4469524846099</v>
      </c>
      <c r="E63" s="444">
        <f t="shared" ref="E63:H63" si="14">E64*(1-E58)</f>
        <v>6733.2291379045282</v>
      </c>
      <c r="F63" s="444">
        <f t="shared" si="14"/>
        <v>6721.5007704178042</v>
      </c>
      <c r="G63" s="444">
        <f t="shared" si="14"/>
        <v>6890.7162140847186</v>
      </c>
      <c r="H63" s="444">
        <f t="shared" si="14"/>
        <v>7032.1673645876726</v>
      </c>
    </row>
    <row r="64" spans="2:10">
      <c r="B64" t="s">
        <v>907</v>
      </c>
      <c r="C64" s="39" t="str">
        <f>Data!$C$9</f>
        <v>£m 18/19</v>
      </c>
      <c r="D64" s="588">
        <f>'R7 - RAV'!E41</f>
        <v>13832.926583066834</v>
      </c>
      <c r="E64" s="588">
        <f>'R7 - RAV'!F41</f>
        <v>14206.13885321813</v>
      </c>
      <c r="F64" s="588">
        <f>'R7 - RAV'!G41</f>
        <v>14685.364281800963</v>
      </c>
      <c r="G64" s="588">
        <f>'R7 - RAV'!H41</f>
        <v>15079.599577245393</v>
      </c>
      <c r="H64" s="588">
        <f>'R7 - RAV'!I41</f>
        <v>15473.028128217593</v>
      </c>
    </row>
    <row r="65" spans="2:8">
      <c r="B65" t="s">
        <v>903</v>
      </c>
      <c r="C65" s="76" t="s">
        <v>225</v>
      </c>
      <c r="D65" s="108">
        <f>D62/D64</f>
        <v>0.53390579254739479</v>
      </c>
      <c r="E65" s="109">
        <f t="shared" ref="E65:H65" si="15">E62/E64</f>
        <v>0.52603383597230968</v>
      </c>
      <c r="F65" s="109">
        <f t="shared" si="15"/>
        <v>0.54229935046640176</v>
      </c>
      <c r="G65" s="109">
        <f t="shared" si="15"/>
        <v>0.54304382030922249</v>
      </c>
      <c r="H65" s="109">
        <f t="shared" si="15"/>
        <v>0.54552093447284777</v>
      </c>
    </row>
    <row r="66" spans="2:8">
      <c r="B66" t="s">
        <v>24</v>
      </c>
      <c r="C66" s="76" t="s">
        <v>225</v>
      </c>
      <c r="D66" s="589">
        <f>Data!$C$8</f>
        <v>0.55000000000000004</v>
      </c>
      <c r="E66" s="590">
        <f>Data!$C$8</f>
        <v>0.55000000000000004</v>
      </c>
      <c r="F66" s="590">
        <f>Data!$C$8</f>
        <v>0.55000000000000004</v>
      </c>
      <c r="G66" s="590">
        <f>Data!$C$8</f>
        <v>0.55000000000000004</v>
      </c>
      <c r="H66" s="590">
        <f>Data!$C$8</f>
        <v>0.55000000000000004</v>
      </c>
    </row>
    <row r="67" spans="2:8">
      <c r="B67" t="s">
        <v>904</v>
      </c>
      <c r="C67" s="76" t="s">
        <v>225</v>
      </c>
      <c r="D67" s="111">
        <f t="shared" ref="D67:H67" si="16">IF(ISBLANK(D24),"n/a",D65-D66)</f>
        <v>-1.6094207452605258E-2</v>
      </c>
      <c r="E67" s="112">
        <f t="shared" si="16"/>
        <v>-2.3966164027690362E-2</v>
      </c>
      <c r="F67" s="112">
        <f t="shared" si="16"/>
        <v>-7.7006495335982805E-3</v>
      </c>
      <c r="G67" s="112">
        <f t="shared" si="16"/>
        <v>-6.956179690777553E-3</v>
      </c>
      <c r="H67" s="112">
        <f t="shared" si="16"/>
        <v>-4.4790655271522706E-3</v>
      </c>
    </row>
  </sheetData>
  <sheetProtection algorithmName="SHA-512" hashValue="tTAR6TgSv/ZYBbRyxuaAqHjSbo6sIcf63FuH2m1b5eSoyVNsaenKgT/RgqiykTcsb0E+5YNEXUEbrBE2Mmmiqg==" saltValue="11sTSFtwUkOU2G/tt4bIpg==" spinCount="100000" sheet="1" formatCells="0" formatColumns="0" formatRows="0" insertColumns="0" insertRows="0" insertHyperlinks="0" deleteColumns="0" deleteRows="0" sort="0" autoFilter="0" pivotTables="0"/>
  <conditionalFormatting sqref="D44">
    <cfRule type="expression" dxfId="28" priority="3">
      <formula>C$12="N/A"</formula>
    </cfRule>
  </conditionalFormatting>
  <conditionalFormatting sqref="D44">
    <cfRule type="expression" dxfId="27" priority="2">
      <formula>D$5="Forecast"</formula>
    </cfRule>
  </conditionalFormatting>
  <conditionalFormatting sqref="D44:H44">
    <cfRule type="expression" dxfId="26"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CC"/>
  </sheetPr>
  <dimension ref="A1:XEZ604"/>
  <sheetViews>
    <sheetView showGridLines="0" showZeros="0" topLeftCell="E1" zoomScale="40" zoomScaleNormal="40" zoomScaleSheetLayoutView="70" zoomScalePageLayoutView="55" workbookViewId="0">
      <pane ySplit="10" topLeftCell="A567" activePane="bottomLeft" state="frozen"/>
      <selection activeCell="B9" sqref="B9"/>
      <selection pane="bottomLeft" activeCell="T598" sqref="T598:AC599"/>
    </sheetView>
  </sheetViews>
  <sheetFormatPr defaultColWidth="0" defaultRowHeight="13.5" outlineLevelRow="1"/>
  <cols>
    <col min="1" max="1" width="8" style="151" customWidth="1"/>
    <col min="2" max="2" width="6.3828125" style="169" customWidth="1"/>
    <col min="3" max="3" width="12.84375" style="169" customWidth="1"/>
    <col min="4" max="4" width="14.15234375" style="151" customWidth="1"/>
    <col min="5" max="5" width="11.23046875" style="151" bestFit="1" customWidth="1"/>
    <col min="6" max="6" width="63.23046875" style="151" customWidth="1"/>
    <col min="7" max="7" width="11.84375" style="151" bestFit="1" customWidth="1"/>
    <col min="8" max="8" width="10.23046875" style="151" bestFit="1" customWidth="1"/>
    <col min="9" max="9" width="14.15234375" style="151" bestFit="1" customWidth="1"/>
    <col min="10" max="10" width="9.61328125" style="151" customWidth="1"/>
    <col min="11" max="11" width="6.84375" style="151" customWidth="1"/>
    <col min="12" max="12" width="11.765625" style="151" bestFit="1" customWidth="1"/>
    <col min="13" max="13" width="6.84375" style="151" customWidth="1"/>
    <col min="14" max="14" width="10.23046875" style="151" bestFit="1" customWidth="1"/>
    <col min="15" max="15" width="12.4609375" style="151" customWidth="1"/>
    <col min="16" max="16" width="12" style="151" bestFit="1" customWidth="1"/>
    <col min="17" max="17" width="23.765625" style="151" bestFit="1" customWidth="1"/>
    <col min="18" max="19" width="17" style="151" customWidth="1"/>
    <col min="20" max="29" width="10.4609375" style="151" customWidth="1"/>
    <col min="30" max="30" width="8.61328125" style="151" customWidth="1"/>
    <col min="31" max="16369" width="0" style="151" hidden="1"/>
    <col min="16370" max="16380" width="9.15234375" style="151" hidden="1"/>
    <col min="16381" max="16384" width="2.15234375" style="151" customWidth="1"/>
  </cols>
  <sheetData>
    <row r="1" spans="1:16380" s="179" customFormat="1" ht="20">
      <c r="A1" s="1170" t="s">
        <v>181</v>
      </c>
      <c r="B1" s="750"/>
      <c r="C1" s="750"/>
      <c r="D1" s="752"/>
      <c r="E1" s="752"/>
      <c r="F1" s="752"/>
      <c r="G1" s="752"/>
      <c r="H1" s="752"/>
      <c r="I1" s="762"/>
      <c r="J1" s="762"/>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c r="DV1" s="753"/>
      <c r="DW1" s="753"/>
      <c r="DX1" s="753"/>
      <c r="DY1" s="753"/>
      <c r="DZ1" s="753"/>
      <c r="EA1" s="753"/>
      <c r="EB1" s="753"/>
      <c r="EC1" s="753"/>
      <c r="ED1" s="753"/>
      <c r="EE1" s="753"/>
      <c r="EF1" s="753"/>
      <c r="EG1" s="753"/>
      <c r="EH1" s="753"/>
      <c r="EI1" s="753"/>
      <c r="EJ1" s="753"/>
      <c r="EK1" s="753"/>
      <c r="EL1" s="753"/>
      <c r="EM1" s="753"/>
      <c r="EN1" s="753"/>
      <c r="EO1" s="753"/>
      <c r="EP1" s="753"/>
      <c r="EQ1" s="753"/>
      <c r="ER1" s="753"/>
      <c r="ES1" s="753"/>
      <c r="ET1" s="753"/>
      <c r="EU1" s="753"/>
      <c r="EV1" s="753"/>
      <c r="EW1" s="753"/>
      <c r="EX1" s="753"/>
      <c r="EY1" s="753"/>
      <c r="EZ1" s="753"/>
      <c r="FA1" s="753"/>
      <c r="FB1" s="753"/>
      <c r="FC1" s="753"/>
      <c r="FD1" s="753"/>
      <c r="FE1" s="753"/>
      <c r="FF1" s="753"/>
      <c r="FG1" s="753"/>
      <c r="FH1" s="753"/>
      <c r="FI1" s="753"/>
      <c r="FJ1" s="753"/>
      <c r="FK1" s="753"/>
      <c r="FL1" s="753"/>
      <c r="FM1" s="753"/>
      <c r="FN1" s="753"/>
      <c r="FO1" s="753"/>
      <c r="FP1" s="753"/>
      <c r="FQ1" s="753"/>
      <c r="FR1" s="753"/>
      <c r="FS1" s="753"/>
      <c r="FT1" s="753"/>
      <c r="FU1" s="753"/>
      <c r="FV1" s="753"/>
      <c r="FW1" s="753"/>
      <c r="FX1" s="753"/>
      <c r="FY1" s="753"/>
      <c r="FZ1" s="753"/>
      <c r="GA1" s="753"/>
      <c r="GB1" s="753"/>
      <c r="GC1" s="753"/>
      <c r="GD1" s="753"/>
      <c r="GE1" s="753"/>
      <c r="GF1" s="753"/>
      <c r="GG1" s="753"/>
      <c r="GH1" s="753"/>
      <c r="GI1" s="753"/>
      <c r="GJ1" s="753"/>
      <c r="GK1" s="753"/>
      <c r="GL1" s="753"/>
      <c r="GM1" s="753"/>
      <c r="GN1" s="753"/>
      <c r="GO1" s="753"/>
      <c r="GP1" s="753"/>
      <c r="GQ1" s="753"/>
      <c r="GR1" s="753"/>
      <c r="GS1" s="753"/>
      <c r="GT1" s="753"/>
      <c r="GU1" s="753"/>
      <c r="GV1" s="753"/>
      <c r="GW1" s="753"/>
      <c r="GX1" s="753"/>
      <c r="GY1" s="753"/>
      <c r="GZ1" s="753"/>
      <c r="HA1" s="753"/>
      <c r="HB1" s="753"/>
      <c r="HC1" s="753"/>
      <c r="HD1" s="753"/>
      <c r="HE1" s="753"/>
      <c r="HF1" s="753"/>
      <c r="HG1" s="753"/>
      <c r="HH1" s="753"/>
      <c r="HI1" s="753"/>
      <c r="HJ1" s="753"/>
      <c r="HK1" s="753"/>
      <c r="HL1" s="753"/>
      <c r="HM1" s="753"/>
      <c r="HN1" s="753"/>
      <c r="HO1" s="753"/>
      <c r="HP1" s="753"/>
      <c r="HQ1" s="753"/>
      <c r="HR1" s="753"/>
      <c r="HS1" s="753"/>
      <c r="HT1" s="753"/>
      <c r="HU1" s="753"/>
      <c r="HV1" s="753"/>
      <c r="HW1" s="753"/>
      <c r="HX1" s="753"/>
      <c r="HY1" s="753"/>
      <c r="HZ1" s="753"/>
      <c r="IA1" s="753"/>
      <c r="IB1" s="753"/>
      <c r="IC1" s="753"/>
      <c r="ID1" s="753"/>
      <c r="IE1" s="753"/>
      <c r="IF1" s="753"/>
      <c r="IG1" s="753"/>
      <c r="IH1" s="753"/>
      <c r="II1" s="753"/>
      <c r="IJ1" s="753"/>
      <c r="IK1" s="753"/>
      <c r="IL1" s="753"/>
      <c r="IM1" s="753"/>
      <c r="IN1" s="753"/>
      <c r="IO1" s="753"/>
      <c r="IP1" s="753"/>
      <c r="IQ1" s="753"/>
      <c r="IR1" s="753"/>
      <c r="IS1" s="753"/>
      <c r="IT1" s="753"/>
      <c r="IU1" s="753"/>
      <c r="IV1" s="753"/>
      <c r="IW1" s="753"/>
      <c r="IX1" s="753"/>
      <c r="IY1" s="753"/>
      <c r="IZ1" s="753"/>
      <c r="JA1" s="753"/>
      <c r="JB1" s="753"/>
      <c r="JC1" s="753"/>
      <c r="JD1" s="753"/>
      <c r="JE1" s="753"/>
      <c r="JF1" s="753"/>
      <c r="JG1" s="753"/>
      <c r="JH1" s="753"/>
      <c r="JI1" s="753"/>
      <c r="JJ1" s="753"/>
      <c r="JK1" s="753"/>
      <c r="JL1" s="753"/>
      <c r="JM1" s="753"/>
      <c r="JN1" s="753"/>
      <c r="JO1" s="753"/>
      <c r="JP1" s="753"/>
      <c r="JQ1" s="753"/>
      <c r="JR1" s="753"/>
      <c r="JS1" s="753"/>
      <c r="JT1" s="753"/>
      <c r="JU1" s="753"/>
      <c r="JV1" s="753"/>
      <c r="JW1" s="753"/>
      <c r="JX1" s="753"/>
      <c r="JY1" s="753"/>
      <c r="JZ1" s="753"/>
      <c r="KA1" s="753"/>
      <c r="KB1" s="753"/>
      <c r="KC1" s="753"/>
      <c r="KD1" s="753"/>
      <c r="KE1" s="753"/>
      <c r="KF1" s="753"/>
      <c r="KG1" s="753"/>
      <c r="KH1" s="753"/>
      <c r="KI1" s="753"/>
      <c r="KJ1" s="753"/>
      <c r="KK1" s="753"/>
      <c r="KL1" s="753"/>
      <c r="KM1" s="753"/>
      <c r="KN1" s="753"/>
      <c r="KO1" s="753"/>
      <c r="KP1" s="753"/>
      <c r="KQ1" s="753"/>
      <c r="KR1" s="753"/>
      <c r="KS1" s="753"/>
      <c r="KT1" s="753"/>
      <c r="KU1" s="753"/>
      <c r="KV1" s="753"/>
      <c r="KW1" s="753"/>
      <c r="KX1" s="753"/>
      <c r="KY1" s="753"/>
      <c r="KZ1" s="753"/>
      <c r="LA1" s="753"/>
      <c r="LB1" s="753"/>
      <c r="LC1" s="753"/>
      <c r="LD1" s="753"/>
      <c r="LE1" s="753"/>
      <c r="LF1" s="753"/>
      <c r="LG1" s="753"/>
      <c r="LH1" s="753"/>
      <c r="LI1" s="753"/>
      <c r="LJ1" s="753"/>
      <c r="LK1" s="753"/>
      <c r="LL1" s="753"/>
      <c r="LM1" s="753"/>
      <c r="LN1" s="753"/>
      <c r="LO1" s="753"/>
      <c r="LP1" s="753"/>
      <c r="LQ1" s="753"/>
      <c r="LR1" s="753"/>
      <c r="LS1" s="753"/>
      <c r="LT1" s="753"/>
      <c r="LU1" s="753"/>
      <c r="LV1" s="753"/>
      <c r="LW1" s="753"/>
      <c r="LX1" s="753"/>
      <c r="LY1" s="753"/>
      <c r="LZ1" s="753"/>
      <c r="MA1" s="753"/>
      <c r="MB1" s="753"/>
      <c r="MC1" s="753"/>
      <c r="MD1" s="753"/>
      <c r="ME1" s="753"/>
      <c r="MF1" s="753"/>
      <c r="MG1" s="753"/>
      <c r="MH1" s="753"/>
      <c r="MI1" s="753"/>
      <c r="MJ1" s="753"/>
      <c r="MK1" s="753"/>
      <c r="ML1" s="753"/>
      <c r="MM1" s="753"/>
      <c r="MN1" s="753"/>
      <c r="MO1" s="753"/>
      <c r="MP1" s="753"/>
      <c r="MQ1" s="753"/>
      <c r="MR1" s="753"/>
      <c r="MS1" s="753"/>
      <c r="MT1" s="753"/>
      <c r="MU1" s="753"/>
      <c r="MV1" s="753"/>
      <c r="MW1" s="753"/>
      <c r="MX1" s="753"/>
      <c r="MY1" s="753"/>
      <c r="MZ1" s="753"/>
      <c r="NA1" s="753"/>
      <c r="NB1" s="753"/>
      <c r="NC1" s="753"/>
      <c r="ND1" s="753"/>
      <c r="NE1" s="753"/>
      <c r="NF1" s="753"/>
      <c r="NG1" s="753"/>
      <c r="NH1" s="753"/>
      <c r="NI1" s="753"/>
      <c r="NJ1" s="753"/>
      <c r="NK1" s="753"/>
      <c r="NL1" s="753"/>
      <c r="NM1" s="753"/>
      <c r="NN1" s="753"/>
      <c r="NO1" s="753"/>
      <c r="NP1" s="753"/>
      <c r="NQ1" s="753"/>
      <c r="NR1" s="753"/>
      <c r="NS1" s="753"/>
      <c r="NT1" s="753"/>
      <c r="NU1" s="753"/>
      <c r="NV1" s="753"/>
      <c r="NW1" s="753"/>
      <c r="NX1" s="753"/>
      <c r="NY1" s="753"/>
      <c r="NZ1" s="753"/>
      <c r="OA1" s="753"/>
      <c r="OB1" s="753"/>
      <c r="OC1" s="753"/>
      <c r="OD1" s="753"/>
      <c r="OE1" s="753"/>
      <c r="OF1" s="753"/>
      <c r="OG1" s="753"/>
      <c r="OH1" s="753"/>
      <c r="OI1" s="753"/>
      <c r="OJ1" s="753"/>
      <c r="OK1" s="753"/>
      <c r="OL1" s="753"/>
      <c r="OM1" s="753"/>
      <c r="ON1" s="753"/>
      <c r="OO1" s="753"/>
      <c r="OP1" s="753"/>
      <c r="OQ1" s="753"/>
      <c r="OR1" s="753"/>
      <c r="OS1" s="753"/>
      <c r="OT1" s="753"/>
      <c r="OU1" s="753"/>
      <c r="OV1" s="753"/>
      <c r="OW1" s="753"/>
      <c r="OX1" s="753"/>
      <c r="OY1" s="753"/>
      <c r="OZ1" s="753"/>
      <c r="PA1" s="753"/>
      <c r="PB1" s="753"/>
      <c r="PC1" s="753"/>
      <c r="PD1" s="753"/>
      <c r="PE1" s="753"/>
      <c r="PF1" s="753"/>
      <c r="PG1" s="753"/>
      <c r="PH1" s="753"/>
      <c r="PI1" s="753"/>
      <c r="PJ1" s="753"/>
      <c r="PK1" s="753"/>
      <c r="PL1" s="753"/>
      <c r="PM1" s="753"/>
      <c r="PN1" s="753"/>
      <c r="PO1" s="753"/>
      <c r="PP1" s="753"/>
      <c r="PQ1" s="753"/>
      <c r="PR1" s="753"/>
      <c r="PS1" s="753"/>
      <c r="PT1" s="753"/>
      <c r="PU1" s="753"/>
      <c r="PV1" s="753"/>
      <c r="PW1" s="753"/>
      <c r="PX1" s="753"/>
      <c r="PY1" s="753"/>
      <c r="PZ1" s="753"/>
      <c r="QA1" s="753"/>
      <c r="QB1" s="753"/>
      <c r="QC1" s="753"/>
      <c r="QD1" s="753"/>
      <c r="QE1" s="753"/>
      <c r="QF1" s="753"/>
      <c r="QG1" s="753"/>
      <c r="QH1" s="753"/>
      <c r="QI1" s="753"/>
      <c r="QJ1" s="753"/>
      <c r="QK1" s="753"/>
      <c r="QL1" s="753"/>
      <c r="QM1" s="753"/>
      <c r="QN1" s="753"/>
      <c r="QO1" s="753"/>
      <c r="QP1" s="753"/>
      <c r="QQ1" s="753"/>
      <c r="QR1" s="753"/>
      <c r="QS1" s="753"/>
      <c r="QT1" s="753"/>
      <c r="QU1" s="753"/>
      <c r="QV1" s="753"/>
      <c r="QW1" s="753"/>
      <c r="QX1" s="753"/>
      <c r="QY1" s="753"/>
      <c r="QZ1" s="753"/>
      <c r="RA1" s="753"/>
      <c r="RB1" s="753"/>
      <c r="RC1" s="753"/>
      <c r="RD1" s="753"/>
      <c r="RE1" s="753"/>
      <c r="RF1" s="753"/>
      <c r="RG1" s="753"/>
      <c r="RH1" s="753"/>
      <c r="RI1" s="753"/>
      <c r="RJ1" s="753"/>
      <c r="RK1" s="753"/>
      <c r="RL1" s="753"/>
      <c r="RM1" s="753"/>
      <c r="RN1" s="753"/>
      <c r="RO1" s="753"/>
      <c r="RP1" s="753"/>
      <c r="RQ1" s="753"/>
      <c r="RR1" s="753"/>
      <c r="RS1" s="753"/>
      <c r="RT1" s="753"/>
      <c r="RU1" s="753"/>
      <c r="RV1" s="753"/>
      <c r="RW1" s="753"/>
      <c r="RX1" s="753"/>
      <c r="RY1" s="753"/>
      <c r="RZ1" s="753"/>
      <c r="SA1" s="753"/>
      <c r="SB1" s="753"/>
      <c r="SC1" s="753"/>
      <c r="SD1" s="753"/>
      <c r="SE1" s="753"/>
      <c r="SF1" s="753"/>
      <c r="SG1" s="753"/>
      <c r="SH1" s="753"/>
      <c r="SI1" s="753"/>
      <c r="SJ1" s="753"/>
      <c r="SK1" s="753"/>
      <c r="SL1" s="753"/>
      <c r="SM1" s="753"/>
      <c r="SN1" s="753"/>
      <c r="SO1" s="753"/>
      <c r="SP1" s="753"/>
      <c r="SQ1" s="753"/>
      <c r="SR1" s="753"/>
      <c r="SS1" s="753"/>
      <c r="ST1" s="753"/>
      <c r="SU1" s="753"/>
      <c r="SV1" s="753"/>
      <c r="SW1" s="753"/>
      <c r="SX1" s="753"/>
      <c r="SY1" s="753"/>
      <c r="SZ1" s="753"/>
      <c r="TA1" s="753"/>
      <c r="TB1" s="753"/>
      <c r="TC1" s="753"/>
      <c r="TD1" s="753"/>
      <c r="TE1" s="753"/>
      <c r="TF1" s="753"/>
      <c r="TG1" s="753"/>
      <c r="TH1" s="753"/>
      <c r="TI1" s="753"/>
      <c r="TJ1" s="753"/>
      <c r="TK1" s="753"/>
      <c r="TL1" s="753"/>
      <c r="TM1" s="753"/>
      <c r="TN1" s="753"/>
      <c r="TO1" s="753"/>
      <c r="TP1" s="753"/>
      <c r="TQ1" s="753"/>
      <c r="TR1" s="753"/>
      <c r="TS1" s="753"/>
      <c r="TT1" s="753"/>
      <c r="TU1" s="753"/>
      <c r="TV1" s="753"/>
      <c r="TW1" s="753"/>
      <c r="TX1" s="753"/>
      <c r="TY1" s="753"/>
      <c r="TZ1" s="753"/>
      <c r="UA1" s="753"/>
      <c r="UB1" s="753"/>
      <c r="UC1" s="753"/>
      <c r="UD1" s="753"/>
      <c r="UE1" s="753"/>
      <c r="UF1" s="753"/>
      <c r="UG1" s="753"/>
      <c r="UH1" s="753"/>
      <c r="UI1" s="753"/>
      <c r="UJ1" s="753"/>
      <c r="UK1" s="753"/>
      <c r="UL1" s="753"/>
      <c r="UM1" s="753"/>
      <c r="UN1" s="753"/>
      <c r="UO1" s="753"/>
      <c r="UP1" s="753"/>
      <c r="UQ1" s="753"/>
      <c r="UR1" s="753"/>
      <c r="US1" s="753"/>
      <c r="UT1" s="753"/>
      <c r="UU1" s="753"/>
      <c r="UV1" s="753"/>
      <c r="UW1" s="753"/>
      <c r="UX1" s="753"/>
      <c r="UY1" s="753"/>
      <c r="UZ1" s="753"/>
      <c r="VA1" s="753"/>
      <c r="VB1" s="753"/>
      <c r="VC1" s="753"/>
      <c r="VD1" s="753"/>
      <c r="VE1" s="753"/>
      <c r="VF1" s="753"/>
      <c r="VG1" s="753"/>
      <c r="VH1" s="753"/>
      <c r="VI1" s="753"/>
      <c r="VJ1" s="753"/>
      <c r="VK1" s="753"/>
      <c r="VL1" s="753"/>
      <c r="VM1" s="753"/>
      <c r="VN1" s="753"/>
      <c r="VO1" s="753"/>
      <c r="VP1" s="753"/>
      <c r="VQ1" s="753"/>
      <c r="VR1" s="753"/>
      <c r="VS1" s="753"/>
      <c r="VT1" s="753"/>
      <c r="VU1" s="753"/>
      <c r="VV1" s="753"/>
      <c r="VW1" s="753"/>
      <c r="VX1" s="753"/>
      <c r="VY1" s="753"/>
      <c r="VZ1" s="753"/>
      <c r="WA1" s="753"/>
      <c r="WB1" s="753"/>
      <c r="WC1" s="753"/>
      <c r="WD1" s="753"/>
      <c r="WE1" s="753"/>
      <c r="WF1" s="753"/>
      <c r="WG1" s="753"/>
      <c r="WH1" s="753"/>
      <c r="WI1" s="753"/>
      <c r="WJ1" s="753"/>
      <c r="WK1" s="753"/>
      <c r="WL1" s="753"/>
      <c r="WM1" s="753"/>
      <c r="WN1" s="753"/>
      <c r="WO1" s="753"/>
      <c r="WP1" s="753"/>
      <c r="WQ1" s="753"/>
      <c r="WR1" s="753"/>
      <c r="WS1" s="753"/>
      <c r="WT1" s="753"/>
      <c r="WU1" s="753"/>
      <c r="WV1" s="753"/>
      <c r="WW1" s="753"/>
      <c r="WX1" s="753"/>
      <c r="WY1" s="753"/>
      <c r="WZ1" s="753"/>
      <c r="XA1" s="753"/>
      <c r="XB1" s="753"/>
      <c r="XC1" s="753"/>
      <c r="XD1" s="753"/>
      <c r="XE1" s="753"/>
      <c r="XF1" s="753"/>
      <c r="XG1" s="753"/>
      <c r="XH1" s="753"/>
      <c r="XI1" s="753"/>
      <c r="XJ1" s="753"/>
      <c r="XK1" s="753"/>
      <c r="XL1" s="753"/>
      <c r="XM1" s="753"/>
      <c r="XN1" s="753"/>
      <c r="XO1" s="753"/>
      <c r="XP1" s="753"/>
      <c r="XQ1" s="753"/>
      <c r="XR1" s="753"/>
      <c r="XS1" s="753"/>
      <c r="XT1" s="753"/>
      <c r="XU1" s="753"/>
      <c r="XV1" s="753"/>
      <c r="XW1" s="753"/>
      <c r="XX1" s="753"/>
      <c r="XY1" s="753"/>
      <c r="XZ1" s="753"/>
      <c r="YA1" s="753"/>
      <c r="YB1" s="753"/>
      <c r="YC1" s="753"/>
      <c r="YD1" s="753"/>
      <c r="YE1" s="753"/>
      <c r="YF1" s="753"/>
      <c r="YG1" s="753"/>
      <c r="YH1" s="753"/>
      <c r="YI1" s="753"/>
      <c r="YJ1" s="753"/>
      <c r="YK1" s="753"/>
      <c r="YL1" s="753"/>
      <c r="YM1" s="753"/>
      <c r="YN1" s="753"/>
      <c r="YO1" s="753"/>
      <c r="YP1" s="753"/>
      <c r="YQ1" s="753"/>
      <c r="YR1" s="753"/>
      <c r="YS1" s="753"/>
      <c r="YT1" s="753"/>
      <c r="YU1" s="753"/>
      <c r="YV1" s="753"/>
      <c r="YW1" s="753"/>
      <c r="YX1" s="753"/>
      <c r="YY1" s="753"/>
      <c r="YZ1" s="753"/>
      <c r="ZA1" s="753"/>
      <c r="ZB1" s="753"/>
      <c r="ZC1" s="753"/>
      <c r="ZD1" s="753"/>
      <c r="ZE1" s="753"/>
      <c r="ZF1" s="753"/>
      <c r="ZG1" s="753"/>
      <c r="ZH1" s="753"/>
      <c r="ZI1" s="753"/>
      <c r="ZJ1" s="753"/>
      <c r="ZK1" s="753"/>
      <c r="ZL1" s="753"/>
      <c r="ZM1" s="753"/>
      <c r="ZN1" s="753"/>
      <c r="ZO1" s="753"/>
      <c r="ZP1" s="753"/>
      <c r="ZQ1" s="753"/>
      <c r="ZR1" s="753"/>
      <c r="ZS1" s="753"/>
      <c r="ZT1" s="753"/>
      <c r="ZU1" s="753"/>
      <c r="ZV1" s="753"/>
      <c r="ZW1" s="753"/>
      <c r="ZX1" s="753"/>
      <c r="ZY1" s="753"/>
      <c r="ZZ1" s="753"/>
      <c r="AAA1" s="753"/>
      <c r="AAB1" s="753"/>
      <c r="AAC1" s="753"/>
      <c r="AAD1" s="753"/>
      <c r="AAE1" s="753"/>
      <c r="AAF1" s="753"/>
      <c r="AAG1" s="753"/>
      <c r="AAH1" s="753"/>
      <c r="AAI1" s="753"/>
      <c r="AAJ1" s="753"/>
      <c r="AAK1" s="753"/>
      <c r="AAL1" s="753"/>
      <c r="AAM1" s="753"/>
      <c r="AAN1" s="753"/>
      <c r="AAO1" s="753"/>
      <c r="AAP1" s="753"/>
      <c r="AAQ1" s="753"/>
      <c r="AAR1" s="753"/>
      <c r="AAS1" s="753"/>
      <c r="AAT1" s="753"/>
      <c r="AAU1" s="753"/>
      <c r="AAV1" s="753"/>
      <c r="AAW1" s="753"/>
      <c r="AAX1" s="753"/>
      <c r="AAY1" s="753"/>
      <c r="AAZ1" s="753"/>
      <c r="ABA1" s="753"/>
      <c r="ABB1" s="753"/>
      <c r="ABC1" s="753"/>
      <c r="ABD1" s="753"/>
      <c r="ABE1" s="753"/>
      <c r="ABF1" s="753"/>
      <c r="ABG1" s="753"/>
      <c r="ABH1" s="753"/>
      <c r="ABI1" s="753"/>
      <c r="ABJ1" s="753"/>
      <c r="ABK1" s="753"/>
      <c r="ABL1" s="753"/>
      <c r="ABM1" s="753"/>
      <c r="ABN1" s="753"/>
      <c r="ABO1" s="753"/>
      <c r="ABP1" s="753"/>
      <c r="ABQ1" s="753"/>
      <c r="ABR1" s="753"/>
      <c r="ABS1" s="753"/>
      <c r="ABT1" s="753"/>
      <c r="ABU1" s="753"/>
      <c r="ABV1" s="753"/>
      <c r="ABW1" s="753"/>
      <c r="ABX1" s="753"/>
      <c r="ABY1" s="753"/>
      <c r="ABZ1" s="753"/>
      <c r="ACA1" s="753"/>
      <c r="ACB1" s="753"/>
      <c r="ACC1" s="753"/>
      <c r="ACD1" s="753"/>
      <c r="ACE1" s="753"/>
      <c r="ACF1" s="753"/>
      <c r="ACG1" s="753"/>
      <c r="ACH1" s="753"/>
      <c r="ACI1" s="753"/>
      <c r="ACJ1" s="753"/>
      <c r="ACK1" s="753"/>
      <c r="ACL1" s="753"/>
      <c r="ACM1" s="753"/>
      <c r="ACN1" s="753"/>
      <c r="ACO1" s="753"/>
      <c r="ACP1" s="753"/>
      <c r="ACQ1" s="753"/>
      <c r="ACR1" s="753"/>
      <c r="ACS1" s="753"/>
      <c r="ACT1" s="753"/>
      <c r="ACU1" s="753"/>
      <c r="ACV1" s="753"/>
      <c r="ACW1" s="753"/>
      <c r="ACX1" s="753"/>
      <c r="ACY1" s="753"/>
      <c r="ACZ1" s="753"/>
      <c r="ADA1" s="753"/>
      <c r="ADB1" s="753"/>
      <c r="ADC1" s="753"/>
      <c r="ADD1" s="753"/>
      <c r="ADE1" s="753"/>
      <c r="ADF1" s="753"/>
      <c r="ADG1" s="753"/>
      <c r="ADH1" s="753"/>
      <c r="ADI1" s="753"/>
      <c r="ADJ1" s="753"/>
      <c r="ADK1" s="753"/>
      <c r="ADL1" s="753"/>
      <c r="ADM1" s="753"/>
      <c r="ADN1" s="753"/>
      <c r="ADO1" s="753"/>
      <c r="ADP1" s="753"/>
      <c r="ADQ1" s="753"/>
      <c r="ADR1" s="753"/>
      <c r="ADS1" s="753"/>
      <c r="ADT1" s="753"/>
      <c r="ADU1" s="753"/>
      <c r="ADV1" s="753"/>
      <c r="ADW1" s="753"/>
      <c r="ADX1" s="753"/>
      <c r="ADY1" s="753"/>
      <c r="ADZ1" s="753"/>
      <c r="AEA1" s="753"/>
      <c r="AEB1" s="753"/>
      <c r="AEC1" s="753"/>
      <c r="AED1" s="753"/>
      <c r="AEE1" s="753"/>
      <c r="AEF1" s="753"/>
      <c r="AEG1" s="753"/>
      <c r="AEH1" s="753"/>
      <c r="AEI1" s="753"/>
      <c r="AEJ1" s="753"/>
      <c r="AEK1" s="753"/>
      <c r="AEL1" s="753"/>
      <c r="AEM1" s="753"/>
      <c r="AEN1" s="753"/>
      <c r="AEO1" s="753"/>
      <c r="AEP1" s="753"/>
      <c r="AEQ1" s="753"/>
      <c r="AER1" s="753"/>
      <c r="AES1" s="753"/>
      <c r="AET1" s="753"/>
      <c r="AEU1" s="753"/>
      <c r="AEV1" s="753"/>
      <c r="AEW1" s="753"/>
      <c r="AEX1" s="753"/>
      <c r="AEY1" s="753"/>
      <c r="AEZ1" s="753"/>
      <c r="AFA1" s="753"/>
      <c r="AFB1" s="753"/>
      <c r="AFC1" s="753"/>
      <c r="AFD1" s="753"/>
      <c r="AFE1" s="753"/>
      <c r="AFF1" s="753"/>
      <c r="AFG1" s="753"/>
      <c r="AFH1" s="753"/>
      <c r="AFI1" s="753"/>
      <c r="AFJ1" s="753"/>
      <c r="AFK1" s="753"/>
      <c r="AFL1" s="753"/>
      <c r="AFM1" s="753"/>
      <c r="AFN1" s="753"/>
      <c r="AFO1" s="753"/>
      <c r="AFP1" s="753"/>
      <c r="AFQ1" s="753"/>
      <c r="AFR1" s="753"/>
      <c r="AFS1" s="753"/>
      <c r="AFT1" s="753"/>
      <c r="AFU1" s="753"/>
      <c r="AFV1" s="753"/>
      <c r="AFW1" s="753"/>
      <c r="AFX1" s="753"/>
      <c r="AFY1" s="753"/>
      <c r="AFZ1" s="753"/>
      <c r="AGA1" s="753"/>
      <c r="AGB1" s="753"/>
      <c r="AGC1" s="753"/>
      <c r="AGD1" s="753"/>
      <c r="AGE1" s="753"/>
      <c r="AGF1" s="753"/>
      <c r="AGG1" s="753"/>
      <c r="AGH1" s="753"/>
      <c r="AGI1" s="753"/>
      <c r="AGJ1" s="753"/>
      <c r="AGK1" s="753"/>
      <c r="AGL1" s="753"/>
      <c r="AGM1" s="753"/>
      <c r="AGN1" s="753"/>
      <c r="AGO1" s="753"/>
      <c r="AGP1" s="753"/>
      <c r="AGQ1" s="753"/>
      <c r="AGR1" s="753"/>
      <c r="AGS1" s="753"/>
      <c r="AGT1" s="753"/>
      <c r="AGU1" s="753"/>
      <c r="AGV1" s="753"/>
      <c r="AGW1" s="753"/>
      <c r="AGX1" s="753"/>
      <c r="AGY1" s="753"/>
      <c r="AGZ1" s="753"/>
      <c r="AHA1" s="753"/>
      <c r="AHB1" s="753"/>
      <c r="AHC1" s="753"/>
      <c r="AHD1" s="753"/>
      <c r="AHE1" s="753"/>
      <c r="AHF1" s="753"/>
      <c r="AHG1" s="753"/>
      <c r="AHH1" s="753"/>
      <c r="AHI1" s="753"/>
      <c r="AHJ1" s="753"/>
      <c r="AHK1" s="753"/>
      <c r="AHL1" s="753"/>
      <c r="AHM1" s="753"/>
      <c r="AHN1" s="753"/>
      <c r="AHO1" s="753"/>
      <c r="AHP1" s="753"/>
      <c r="AHQ1" s="753"/>
      <c r="AHR1" s="753"/>
      <c r="AHS1" s="753"/>
      <c r="AHT1" s="753"/>
      <c r="AHU1" s="753"/>
      <c r="AHV1" s="753"/>
      <c r="AHW1" s="753"/>
      <c r="AHX1" s="753"/>
      <c r="AHY1" s="753"/>
      <c r="AHZ1" s="753"/>
      <c r="AIA1" s="753"/>
      <c r="AIB1" s="753"/>
      <c r="AIC1" s="753"/>
      <c r="AID1" s="753"/>
      <c r="AIE1" s="753"/>
      <c r="AIF1" s="753"/>
      <c r="AIG1" s="753"/>
      <c r="AIH1" s="753"/>
      <c r="AII1" s="753"/>
      <c r="AIJ1" s="753"/>
      <c r="AIK1" s="753"/>
      <c r="AIL1" s="753"/>
      <c r="AIM1" s="753"/>
      <c r="AIN1" s="753"/>
      <c r="AIO1" s="753"/>
      <c r="AIP1" s="753"/>
      <c r="AIQ1" s="753"/>
      <c r="AIR1" s="753"/>
      <c r="AIS1" s="753"/>
      <c r="AIT1" s="753"/>
      <c r="AIU1" s="753"/>
      <c r="AIV1" s="753"/>
      <c r="AIW1" s="753"/>
      <c r="AIX1" s="753"/>
      <c r="AIY1" s="753"/>
      <c r="AIZ1" s="753"/>
      <c r="AJA1" s="753"/>
      <c r="AJB1" s="753"/>
      <c r="AJC1" s="753"/>
      <c r="AJD1" s="753"/>
      <c r="AJE1" s="753"/>
      <c r="AJF1" s="753"/>
      <c r="AJG1" s="753"/>
      <c r="AJH1" s="753"/>
      <c r="AJI1" s="753"/>
      <c r="AJJ1" s="753"/>
      <c r="AJK1" s="753"/>
      <c r="AJL1" s="753"/>
      <c r="AJM1" s="753"/>
      <c r="AJN1" s="753"/>
      <c r="AJO1" s="753"/>
      <c r="AJP1" s="753"/>
      <c r="AJQ1" s="753"/>
      <c r="AJR1" s="753"/>
      <c r="AJS1" s="753"/>
      <c r="AJT1" s="753"/>
      <c r="AJU1" s="753"/>
      <c r="AJV1" s="753"/>
      <c r="AJW1" s="753"/>
      <c r="AJX1" s="753"/>
      <c r="AJY1" s="753"/>
      <c r="AJZ1" s="753"/>
      <c r="AKA1" s="753"/>
      <c r="AKB1" s="753"/>
      <c r="AKC1" s="753"/>
      <c r="AKD1" s="753"/>
      <c r="AKE1" s="753"/>
      <c r="AKF1" s="753"/>
      <c r="AKG1" s="753"/>
      <c r="AKH1" s="753"/>
      <c r="AKI1" s="753"/>
      <c r="AKJ1" s="753"/>
      <c r="AKK1" s="753"/>
      <c r="AKL1" s="753"/>
      <c r="AKM1" s="753"/>
      <c r="AKN1" s="753"/>
      <c r="AKO1" s="753"/>
      <c r="AKP1" s="753"/>
      <c r="AKQ1" s="753"/>
      <c r="AKR1" s="753"/>
      <c r="AKS1" s="753"/>
      <c r="AKT1" s="753"/>
      <c r="AKU1" s="753"/>
      <c r="AKV1" s="753"/>
      <c r="AKW1" s="753"/>
      <c r="AKX1" s="753"/>
      <c r="AKY1" s="753"/>
      <c r="AKZ1" s="753"/>
      <c r="ALA1" s="753"/>
      <c r="ALB1" s="753"/>
      <c r="ALC1" s="753"/>
      <c r="ALD1" s="753"/>
      <c r="ALE1" s="753"/>
      <c r="ALF1" s="753"/>
      <c r="ALG1" s="753"/>
      <c r="ALH1" s="753"/>
      <c r="ALI1" s="753"/>
      <c r="ALJ1" s="753"/>
      <c r="ALK1" s="753"/>
      <c r="ALL1" s="753"/>
      <c r="ALM1" s="753"/>
      <c r="ALN1" s="753"/>
      <c r="ALO1" s="753"/>
      <c r="ALP1" s="753"/>
      <c r="ALQ1" s="753"/>
      <c r="ALR1" s="753"/>
      <c r="ALS1" s="753"/>
      <c r="ALT1" s="753"/>
      <c r="ALU1" s="753"/>
      <c r="ALV1" s="753"/>
      <c r="ALW1" s="753"/>
      <c r="ALX1" s="753"/>
      <c r="ALY1" s="753"/>
      <c r="ALZ1" s="753"/>
      <c r="AMA1" s="753"/>
      <c r="AMB1" s="753"/>
      <c r="AMC1" s="753"/>
      <c r="AMD1" s="753"/>
      <c r="AME1" s="753"/>
      <c r="AMF1" s="753"/>
      <c r="AMG1" s="753"/>
      <c r="AMH1" s="753"/>
      <c r="AMI1" s="753"/>
      <c r="AMJ1" s="753"/>
      <c r="AMK1" s="753"/>
      <c r="AML1" s="753"/>
      <c r="AMM1" s="753"/>
      <c r="AMN1" s="753"/>
      <c r="AMO1" s="753"/>
      <c r="AMP1" s="753"/>
      <c r="AMQ1" s="753"/>
      <c r="AMR1" s="753"/>
      <c r="AMS1" s="753"/>
      <c r="AMT1" s="753"/>
      <c r="AMU1" s="753"/>
      <c r="AMV1" s="753"/>
      <c r="AMW1" s="753"/>
      <c r="AMX1" s="753"/>
      <c r="AMY1" s="753"/>
      <c r="AMZ1" s="753"/>
      <c r="ANA1" s="753"/>
      <c r="ANB1" s="753"/>
      <c r="ANC1" s="753"/>
      <c r="AND1" s="753"/>
      <c r="ANE1" s="753"/>
      <c r="ANF1" s="753"/>
      <c r="ANG1" s="753"/>
      <c r="ANH1" s="753"/>
      <c r="ANI1" s="753"/>
      <c r="ANJ1" s="753"/>
      <c r="ANK1" s="753"/>
      <c r="ANL1" s="753"/>
      <c r="ANM1" s="753"/>
      <c r="ANN1" s="753"/>
      <c r="ANO1" s="753"/>
      <c r="ANP1" s="753"/>
      <c r="ANQ1" s="753"/>
      <c r="ANR1" s="753"/>
      <c r="ANS1" s="753"/>
      <c r="ANT1" s="753"/>
      <c r="ANU1" s="753"/>
      <c r="ANV1" s="753"/>
      <c r="ANW1" s="753"/>
      <c r="ANX1" s="753"/>
      <c r="ANY1" s="753"/>
      <c r="ANZ1" s="753"/>
      <c r="AOA1" s="753"/>
      <c r="AOB1" s="753"/>
      <c r="AOC1" s="753"/>
      <c r="AOD1" s="753"/>
      <c r="AOE1" s="753"/>
      <c r="AOF1" s="753"/>
      <c r="AOG1" s="753"/>
      <c r="AOH1" s="753"/>
      <c r="AOI1" s="753"/>
      <c r="AOJ1" s="753"/>
      <c r="AOK1" s="753"/>
      <c r="AOL1" s="753"/>
      <c r="AOM1" s="753"/>
      <c r="AON1" s="753"/>
      <c r="AOO1" s="753"/>
      <c r="AOP1" s="753"/>
      <c r="AOQ1" s="753"/>
      <c r="AOR1" s="753"/>
      <c r="AOS1" s="753"/>
      <c r="AOT1" s="753"/>
      <c r="AOU1" s="753"/>
      <c r="AOV1" s="753"/>
      <c r="AOW1" s="753"/>
      <c r="AOX1" s="753"/>
      <c r="AOY1" s="753"/>
      <c r="AOZ1" s="753"/>
      <c r="APA1" s="753"/>
      <c r="APB1" s="753"/>
      <c r="APC1" s="753"/>
      <c r="APD1" s="753"/>
      <c r="APE1" s="753"/>
      <c r="APF1" s="753"/>
      <c r="APG1" s="753"/>
      <c r="APH1" s="753"/>
      <c r="API1" s="753"/>
      <c r="APJ1" s="753"/>
      <c r="APK1" s="753"/>
      <c r="APL1" s="753"/>
      <c r="APM1" s="753"/>
      <c r="APN1" s="753"/>
      <c r="APO1" s="753"/>
      <c r="APP1" s="753"/>
      <c r="APQ1" s="753"/>
      <c r="APR1" s="753"/>
      <c r="APS1" s="753"/>
      <c r="APT1" s="753"/>
      <c r="APU1" s="753"/>
      <c r="APV1" s="753"/>
      <c r="APW1" s="753"/>
      <c r="APX1" s="753"/>
      <c r="APY1" s="753"/>
      <c r="APZ1" s="753"/>
      <c r="AQA1" s="753"/>
      <c r="AQB1" s="753"/>
      <c r="AQC1" s="753"/>
      <c r="AQD1" s="753"/>
      <c r="AQE1" s="753"/>
      <c r="AQF1" s="753"/>
      <c r="AQG1" s="753"/>
      <c r="AQH1" s="753"/>
      <c r="AQI1" s="753"/>
      <c r="AQJ1" s="753"/>
      <c r="AQK1" s="753"/>
      <c r="AQL1" s="753"/>
      <c r="AQM1" s="753"/>
      <c r="AQN1" s="753"/>
      <c r="AQO1" s="753"/>
      <c r="AQP1" s="753"/>
      <c r="AQQ1" s="753"/>
      <c r="AQR1" s="753"/>
      <c r="AQS1" s="753"/>
      <c r="AQT1" s="753"/>
      <c r="AQU1" s="753"/>
      <c r="AQV1" s="753"/>
      <c r="AQW1" s="753"/>
      <c r="AQX1" s="753"/>
      <c r="AQY1" s="753"/>
      <c r="AQZ1" s="753"/>
      <c r="ARA1" s="753"/>
      <c r="ARB1" s="753"/>
      <c r="ARC1" s="753"/>
      <c r="ARD1" s="753"/>
      <c r="ARE1" s="753"/>
      <c r="ARF1" s="753"/>
      <c r="ARG1" s="753"/>
      <c r="ARH1" s="753"/>
      <c r="ARI1" s="753"/>
      <c r="ARJ1" s="753"/>
      <c r="ARK1" s="753"/>
      <c r="ARL1" s="753"/>
      <c r="ARM1" s="753"/>
      <c r="ARN1" s="753"/>
      <c r="ARO1" s="753"/>
      <c r="ARP1" s="753"/>
      <c r="ARQ1" s="753"/>
      <c r="ARR1" s="753"/>
      <c r="ARS1" s="753"/>
      <c r="ART1" s="753"/>
      <c r="ARU1" s="753"/>
      <c r="ARV1" s="753"/>
      <c r="ARW1" s="753"/>
      <c r="ARX1" s="753"/>
      <c r="ARY1" s="753"/>
      <c r="ARZ1" s="753"/>
      <c r="ASA1" s="753"/>
      <c r="ASB1" s="753"/>
      <c r="ASC1" s="753"/>
      <c r="ASD1" s="753"/>
      <c r="ASE1" s="753"/>
      <c r="ASF1" s="753"/>
      <c r="ASG1" s="753"/>
      <c r="ASH1" s="753"/>
      <c r="ASI1" s="753"/>
      <c r="ASJ1" s="753"/>
      <c r="ASK1" s="753"/>
      <c r="ASL1" s="753"/>
      <c r="ASM1" s="753"/>
      <c r="ASN1" s="753"/>
      <c r="ASO1" s="753"/>
      <c r="ASP1" s="753"/>
      <c r="ASQ1" s="753"/>
      <c r="ASR1" s="753"/>
      <c r="ASS1" s="753"/>
      <c r="AST1" s="753"/>
      <c r="ASU1" s="753"/>
      <c r="ASV1" s="753"/>
      <c r="ASW1" s="753"/>
      <c r="ASX1" s="753"/>
      <c r="ASY1" s="753"/>
      <c r="ASZ1" s="753"/>
      <c r="ATA1" s="753"/>
      <c r="ATB1" s="753"/>
      <c r="ATC1" s="753"/>
      <c r="ATD1" s="753"/>
      <c r="ATE1" s="753"/>
      <c r="ATF1" s="753"/>
      <c r="ATG1" s="753"/>
      <c r="ATH1" s="753"/>
      <c r="ATI1" s="753"/>
      <c r="ATJ1" s="753"/>
      <c r="ATK1" s="753"/>
      <c r="ATL1" s="753"/>
      <c r="ATM1" s="753"/>
      <c r="ATN1" s="753"/>
      <c r="ATO1" s="753"/>
      <c r="ATP1" s="753"/>
      <c r="ATQ1" s="753"/>
      <c r="ATR1" s="753"/>
      <c r="ATS1" s="753"/>
      <c r="ATT1" s="753"/>
      <c r="ATU1" s="753"/>
      <c r="ATV1" s="753"/>
      <c r="ATW1" s="753"/>
      <c r="ATX1" s="753"/>
      <c r="ATY1" s="753"/>
      <c r="ATZ1" s="753"/>
      <c r="AUA1" s="753"/>
      <c r="AUB1" s="753"/>
      <c r="AUC1" s="753"/>
      <c r="AUD1" s="753"/>
      <c r="AUE1" s="753"/>
      <c r="AUF1" s="753"/>
      <c r="AUG1" s="753"/>
      <c r="AUH1" s="753"/>
      <c r="AUI1" s="753"/>
      <c r="AUJ1" s="753"/>
      <c r="AUK1" s="753"/>
      <c r="AUL1" s="753"/>
      <c r="AUM1" s="753"/>
      <c r="AUN1" s="753"/>
      <c r="AUO1" s="753"/>
      <c r="AUP1" s="753"/>
      <c r="AUQ1" s="753"/>
      <c r="AUR1" s="753"/>
      <c r="AUS1" s="753"/>
      <c r="AUT1" s="753"/>
      <c r="AUU1" s="753"/>
      <c r="AUV1" s="753"/>
      <c r="AUW1" s="753"/>
      <c r="AUX1" s="753"/>
      <c r="AUY1" s="753"/>
      <c r="AUZ1" s="753"/>
      <c r="AVA1" s="753"/>
      <c r="AVB1" s="753"/>
      <c r="AVC1" s="753"/>
      <c r="AVD1" s="753"/>
      <c r="AVE1" s="753"/>
      <c r="AVF1" s="753"/>
      <c r="AVG1" s="753"/>
      <c r="AVH1" s="753"/>
      <c r="AVI1" s="753"/>
      <c r="AVJ1" s="753"/>
      <c r="AVK1" s="753"/>
      <c r="AVL1" s="753"/>
      <c r="AVM1" s="753"/>
      <c r="AVN1" s="753"/>
      <c r="AVO1" s="753"/>
      <c r="AVP1" s="753"/>
      <c r="AVQ1" s="753"/>
      <c r="AVR1" s="753"/>
      <c r="AVS1" s="753"/>
      <c r="AVT1" s="753"/>
      <c r="AVU1" s="753"/>
      <c r="AVV1" s="753"/>
      <c r="AVW1" s="753"/>
      <c r="AVX1" s="753"/>
      <c r="AVY1" s="753"/>
      <c r="AVZ1" s="753"/>
      <c r="AWA1" s="753"/>
      <c r="AWB1" s="753"/>
      <c r="AWC1" s="753"/>
      <c r="AWD1" s="753"/>
      <c r="AWE1" s="753"/>
      <c r="AWF1" s="753"/>
      <c r="AWG1" s="753"/>
      <c r="AWH1" s="753"/>
      <c r="AWI1" s="753"/>
      <c r="AWJ1" s="753"/>
      <c r="AWK1" s="753"/>
      <c r="AWL1" s="753"/>
      <c r="AWM1" s="753"/>
      <c r="AWN1" s="753"/>
      <c r="AWO1" s="753"/>
      <c r="AWP1" s="753"/>
      <c r="AWQ1" s="753"/>
      <c r="AWR1" s="753"/>
      <c r="AWS1" s="753"/>
      <c r="AWT1" s="753"/>
      <c r="AWU1" s="753"/>
      <c r="AWV1" s="753"/>
      <c r="AWW1" s="753"/>
      <c r="AWX1" s="753"/>
      <c r="AWY1" s="753"/>
      <c r="AWZ1" s="753"/>
      <c r="AXA1" s="753"/>
      <c r="AXB1" s="753"/>
      <c r="AXC1" s="753"/>
      <c r="AXD1" s="753"/>
      <c r="AXE1" s="753"/>
      <c r="AXF1" s="753"/>
      <c r="AXG1" s="753"/>
      <c r="AXH1" s="753"/>
      <c r="AXI1" s="753"/>
      <c r="AXJ1" s="753"/>
      <c r="AXK1" s="753"/>
      <c r="AXL1" s="753"/>
      <c r="AXM1" s="753"/>
      <c r="AXN1" s="753"/>
      <c r="AXO1" s="753"/>
      <c r="AXP1" s="753"/>
      <c r="AXQ1" s="753"/>
      <c r="AXR1" s="753"/>
      <c r="AXS1" s="753"/>
      <c r="AXT1" s="753"/>
      <c r="AXU1" s="753"/>
      <c r="AXV1" s="753"/>
      <c r="AXW1" s="753"/>
      <c r="AXX1" s="753"/>
      <c r="AXY1" s="753"/>
      <c r="AXZ1" s="753"/>
      <c r="AYA1" s="753"/>
      <c r="AYB1" s="753"/>
      <c r="AYC1" s="753"/>
      <c r="AYD1" s="753"/>
      <c r="AYE1" s="753"/>
      <c r="AYF1" s="753"/>
      <c r="AYG1" s="753"/>
      <c r="AYH1" s="753"/>
      <c r="AYI1" s="753"/>
      <c r="AYJ1" s="753"/>
      <c r="AYK1" s="753"/>
      <c r="AYL1" s="753"/>
      <c r="AYM1" s="753"/>
      <c r="AYN1" s="753"/>
      <c r="AYO1" s="753"/>
      <c r="AYP1" s="753"/>
      <c r="AYQ1" s="753"/>
      <c r="AYR1" s="753"/>
      <c r="AYS1" s="753"/>
      <c r="AYT1" s="753"/>
      <c r="AYU1" s="753"/>
      <c r="AYV1" s="753"/>
      <c r="AYW1" s="753"/>
      <c r="AYX1" s="753"/>
      <c r="AYY1" s="753"/>
      <c r="AYZ1" s="753"/>
      <c r="AZA1" s="753"/>
      <c r="AZB1" s="753"/>
      <c r="AZC1" s="753"/>
      <c r="AZD1" s="753"/>
      <c r="AZE1" s="753"/>
      <c r="AZF1" s="753"/>
      <c r="AZG1" s="753"/>
      <c r="AZH1" s="753"/>
      <c r="AZI1" s="753"/>
      <c r="AZJ1" s="753"/>
      <c r="AZK1" s="753"/>
      <c r="AZL1" s="753"/>
      <c r="AZM1" s="753"/>
      <c r="AZN1" s="753"/>
      <c r="AZO1" s="753"/>
      <c r="AZP1" s="753"/>
      <c r="AZQ1" s="753"/>
      <c r="AZR1" s="753"/>
      <c r="AZS1" s="753"/>
      <c r="AZT1" s="753"/>
      <c r="AZU1" s="753"/>
      <c r="AZV1" s="753"/>
      <c r="AZW1" s="753"/>
      <c r="AZX1" s="753"/>
      <c r="AZY1" s="753"/>
      <c r="AZZ1" s="753"/>
      <c r="BAA1" s="753"/>
      <c r="BAB1" s="753"/>
      <c r="BAC1" s="753"/>
      <c r="BAD1" s="753"/>
      <c r="BAE1" s="753"/>
      <c r="BAF1" s="753"/>
      <c r="BAG1" s="753"/>
      <c r="BAH1" s="753"/>
      <c r="BAI1" s="753"/>
      <c r="BAJ1" s="753"/>
      <c r="BAK1" s="753"/>
      <c r="BAL1" s="753"/>
      <c r="BAM1" s="753"/>
      <c r="BAN1" s="753"/>
      <c r="BAO1" s="753"/>
      <c r="BAP1" s="753"/>
      <c r="BAQ1" s="753"/>
      <c r="BAR1" s="753"/>
      <c r="BAS1" s="753"/>
      <c r="BAT1" s="753"/>
      <c r="BAU1" s="753"/>
      <c r="BAV1" s="753"/>
      <c r="BAW1" s="753"/>
      <c r="BAX1" s="753"/>
      <c r="BAY1" s="753"/>
      <c r="BAZ1" s="753"/>
      <c r="BBA1" s="753"/>
      <c r="BBB1" s="753"/>
      <c r="BBC1" s="753"/>
      <c r="BBD1" s="753"/>
      <c r="BBE1" s="753"/>
      <c r="BBF1" s="753"/>
      <c r="BBG1" s="753"/>
      <c r="BBH1" s="753"/>
      <c r="BBI1" s="753"/>
      <c r="BBJ1" s="753"/>
      <c r="BBK1" s="753"/>
      <c r="BBL1" s="753"/>
      <c r="BBM1" s="753"/>
      <c r="BBN1" s="753"/>
      <c r="BBO1" s="753"/>
      <c r="BBP1" s="753"/>
      <c r="BBQ1" s="753"/>
      <c r="BBR1" s="753"/>
      <c r="BBS1" s="753"/>
      <c r="BBT1" s="753"/>
      <c r="BBU1" s="753"/>
      <c r="BBV1" s="753"/>
      <c r="BBW1" s="753"/>
      <c r="BBX1" s="753"/>
      <c r="BBY1" s="753"/>
      <c r="BBZ1" s="753"/>
      <c r="BCA1" s="753"/>
      <c r="BCB1" s="753"/>
      <c r="BCC1" s="753"/>
      <c r="BCD1" s="753"/>
      <c r="BCE1" s="753"/>
      <c r="BCF1" s="753"/>
      <c r="BCG1" s="753"/>
      <c r="BCH1" s="753"/>
      <c r="BCI1" s="753"/>
      <c r="BCJ1" s="753"/>
      <c r="BCK1" s="753"/>
      <c r="BCL1" s="753"/>
      <c r="BCM1" s="753"/>
      <c r="BCN1" s="753"/>
      <c r="BCO1" s="753"/>
      <c r="BCP1" s="753"/>
      <c r="BCQ1" s="753"/>
      <c r="BCR1" s="753"/>
      <c r="BCS1" s="753"/>
      <c r="BCT1" s="753"/>
      <c r="BCU1" s="753"/>
      <c r="BCV1" s="753"/>
      <c r="BCW1" s="753"/>
      <c r="BCX1" s="753"/>
      <c r="BCY1" s="753"/>
      <c r="BCZ1" s="753"/>
      <c r="BDA1" s="753"/>
      <c r="BDB1" s="753"/>
      <c r="BDC1" s="753"/>
      <c r="BDD1" s="753"/>
      <c r="BDE1" s="753"/>
      <c r="BDF1" s="753"/>
      <c r="BDG1" s="753"/>
      <c r="BDH1" s="753"/>
      <c r="BDI1" s="753"/>
      <c r="BDJ1" s="753"/>
      <c r="BDK1" s="753"/>
      <c r="BDL1" s="753"/>
      <c r="BDM1" s="753"/>
      <c r="BDN1" s="753"/>
      <c r="BDO1" s="753"/>
      <c r="BDP1" s="753"/>
      <c r="BDQ1" s="753"/>
      <c r="BDR1" s="753"/>
      <c r="BDS1" s="753"/>
      <c r="BDT1" s="753"/>
      <c r="BDU1" s="753"/>
      <c r="BDV1" s="753"/>
      <c r="BDW1" s="753"/>
      <c r="BDX1" s="753"/>
      <c r="BDY1" s="753"/>
      <c r="BDZ1" s="753"/>
      <c r="BEA1" s="753"/>
      <c r="BEB1" s="753"/>
      <c r="BEC1" s="753"/>
      <c r="BED1" s="753"/>
      <c r="BEE1" s="753"/>
      <c r="BEF1" s="753"/>
      <c r="BEG1" s="753"/>
      <c r="BEH1" s="753"/>
      <c r="BEI1" s="753"/>
      <c r="BEJ1" s="753"/>
      <c r="BEK1" s="753"/>
      <c r="BEL1" s="753"/>
      <c r="BEM1" s="753"/>
      <c r="BEN1" s="753"/>
      <c r="BEO1" s="753"/>
      <c r="BEP1" s="753"/>
      <c r="BEQ1" s="753"/>
      <c r="BER1" s="753"/>
      <c r="BES1" s="753"/>
      <c r="BET1" s="753"/>
      <c r="BEU1" s="753"/>
      <c r="BEV1" s="753"/>
      <c r="BEW1" s="753"/>
      <c r="BEX1" s="753"/>
      <c r="BEY1" s="753"/>
      <c r="BEZ1" s="753"/>
      <c r="BFA1" s="753"/>
      <c r="BFB1" s="753"/>
      <c r="BFC1" s="753"/>
      <c r="BFD1" s="753"/>
      <c r="BFE1" s="753"/>
      <c r="BFF1" s="753"/>
      <c r="BFG1" s="753"/>
      <c r="BFH1" s="753"/>
      <c r="BFI1" s="753"/>
      <c r="BFJ1" s="753"/>
      <c r="BFK1" s="753"/>
      <c r="BFL1" s="753"/>
      <c r="BFM1" s="753"/>
      <c r="BFN1" s="753"/>
      <c r="BFO1" s="753"/>
      <c r="BFP1" s="753"/>
      <c r="BFQ1" s="753"/>
      <c r="BFR1" s="753"/>
      <c r="BFS1" s="753"/>
      <c r="BFT1" s="753"/>
      <c r="BFU1" s="753"/>
      <c r="BFV1" s="753"/>
      <c r="BFW1" s="753"/>
      <c r="BFX1" s="753"/>
      <c r="BFY1" s="753"/>
      <c r="BFZ1" s="753"/>
      <c r="BGA1" s="753"/>
      <c r="BGB1" s="753"/>
      <c r="BGC1" s="753"/>
      <c r="BGD1" s="753"/>
      <c r="BGE1" s="753"/>
      <c r="BGF1" s="753"/>
      <c r="BGG1" s="753"/>
      <c r="BGH1" s="753"/>
      <c r="BGI1" s="753"/>
      <c r="BGJ1" s="753"/>
      <c r="BGK1" s="753"/>
      <c r="BGL1" s="753"/>
      <c r="BGM1" s="753"/>
      <c r="BGN1" s="753"/>
      <c r="BGO1" s="753"/>
      <c r="BGP1" s="753"/>
      <c r="BGQ1" s="753"/>
      <c r="BGR1" s="753"/>
      <c r="BGS1" s="753"/>
      <c r="BGT1" s="753"/>
      <c r="BGU1" s="753"/>
      <c r="BGV1" s="753"/>
      <c r="BGW1" s="753"/>
      <c r="BGX1" s="753"/>
      <c r="BGY1" s="753"/>
      <c r="BGZ1" s="753"/>
      <c r="BHA1" s="753"/>
      <c r="BHB1" s="753"/>
      <c r="BHC1" s="753"/>
      <c r="BHD1" s="753"/>
      <c r="BHE1" s="753"/>
      <c r="BHF1" s="753"/>
      <c r="BHG1" s="753"/>
      <c r="BHH1" s="753"/>
      <c r="BHI1" s="753"/>
      <c r="BHJ1" s="753"/>
      <c r="BHK1" s="753"/>
      <c r="BHL1" s="753"/>
      <c r="BHM1" s="753"/>
      <c r="BHN1" s="753"/>
      <c r="BHO1" s="753"/>
      <c r="BHP1" s="753"/>
      <c r="BHQ1" s="753"/>
      <c r="BHR1" s="753"/>
      <c r="BHS1" s="753"/>
      <c r="BHT1" s="753"/>
      <c r="BHU1" s="753"/>
      <c r="BHV1" s="753"/>
      <c r="BHW1" s="753"/>
      <c r="BHX1" s="753"/>
      <c r="BHY1" s="753"/>
      <c r="BHZ1" s="753"/>
      <c r="BIA1" s="753"/>
      <c r="BIB1" s="753"/>
      <c r="BIC1" s="753"/>
      <c r="BID1" s="753"/>
      <c r="BIE1" s="753"/>
      <c r="BIF1" s="753"/>
      <c r="BIG1" s="753"/>
      <c r="BIH1" s="753"/>
      <c r="BII1" s="753"/>
      <c r="BIJ1" s="753"/>
      <c r="BIK1" s="753"/>
      <c r="BIL1" s="753"/>
      <c r="BIM1" s="753"/>
      <c r="BIN1" s="753"/>
      <c r="BIO1" s="753"/>
      <c r="BIP1" s="753"/>
      <c r="BIQ1" s="753"/>
      <c r="BIR1" s="753"/>
      <c r="BIS1" s="753"/>
      <c r="BIT1" s="753"/>
      <c r="BIU1" s="753"/>
      <c r="BIV1" s="753"/>
      <c r="BIW1" s="753"/>
      <c r="BIX1" s="753"/>
      <c r="BIY1" s="753"/>
      <c r="BIZ1" s="753"/>
      <c r="BJA1" s="753"/>
      <c r="BJB1" s="753"/>
      <c r="BJC1" s="753"/>
      <c r="BJD1" s="753"/>
      <c r="BJE1" s="753"/>
      <c r="BJF1" s="753"/>
      <c r="BJG1" s="753"/>
      <c r="BJH1" s="753"/>
      <c r="BJI1" s="753"/>
      <c r="BJJ1" s="753"/>
      <c r="BJK1" s="753"/>
      <c r="BJL1" s="753"/>
      <c r="BJM1" s="753"/>
      <c r="BJN1" s="753"/>
      <c r="BJO1" s="753"/>
      <c r="BJP1" s="753"/>
      <c r="BJQ1" s="753"/>
      <c r="BJR1" s="753"/>
      <c r="BJS1" s="753"/>
      <c r="BJT1" s="753"/>
      <c r="BJU1" s="753"/>
      <c r="BJV1" s="753"/>
      <c r="BJW1" s="753"/>
      <c r="BJX1" s="753"/>
      <c r="BJY1" s="753"/>
      <c r="BJZ1" s="753"/>
      <c r="BKA1" s="753"/>
      <c r="BKB1" s="753"/>
      <c r="BKC1" s="753"/>
      <c r="BKD1" s="753"/>
      <c r="BKE1" s="753"/>
      <c r="BKF1" s="753"/>
      <c r="BKG1" s="753"/>
      <c r="BKH1" s="753"/>
      <c r="BKI1" s="753"/>
      <c r="BKJ1" s="753"/>
      <c r="BKK1" s="753"/>
      <c r="BKL1" s="753"/>
      <c r="BKM1" s="753"/>
      <c r="BKN1" s="753"/>
      <c r="BKO1" s="753"/>
      <c r="BKP1" s="753"/>
      <c r="BKQ1" s="753"/>
      <c r="BKR1" s="753"/>
      <c r="BKS1" s="753"/>
      <c r="BKT1" s="753"/>
      <c r="BKU1" s="753"/>
      <c r="BKV1" s="753"/>
      <c r="BKW1" s="753"/>
      <c r="BKX1" s="753"/>
      <c r="BKY1" s="753"/>
      <c r="BKZ1" s="753"/>
      <c r="BLA1" s="753"/>
      <c r="BLB1" s="753"/>
      <c r="BLC1" s="753"/>
      <c r="BLD1" s="753"/>
      <c r="BLE1" s="753"/>
      <c r="BLF1" s="753"/>
      <c r="BLG1" s="753"/>
      <c r="BLH1" s="753"/>
      <c r="BLI1" s="753"/>
      <c r="BLJ1" s="753"/>
      <c r="BLK1" s="753"/>
      <c r="BLL1" s="753"/>
      <c r="BLM1" s="753"/>
      <c r="BLN1" s="753"/>
      <c r="BLO1" s="753"/>
      <c r="BLP1" s="753"/>
      <c r="BLQ1" s="753"/>
      <c r="BLR1" s="753"/>
      <c r="BLS1" s="753"/>
      <c r="BLT1" s="753"/>
      <c r="BLU1" s="753"/>
      <c r="BLV1" s="753"/>
      <c r="BLW1" s="753"/>
      <c r="BLX1" s="753"/>
      <c r="BLY1" s="753"/>
      <c r="BLZ1" s="753"/>
      <c r="BMA1" s="753"/>
      <c r="BMB1" s="753"/>
      <c r="BMC1" s="753"/>
      <c r="BMD1" s="753"/>
      <c r="BME1" s="753"/>
      <c r="BMF1" s="753"/>
      <c r="BMG1" s="753"/>
      <c r="BMH1" s="753"/>
      <c r="BMI1" s="753"/>
      <c r="BMJ1" s="753"/>
      <c r="BMK1" s="753"/>
      <c r="BML1" s="753"/>
      <c r="BMM1" s="753"/>
      <c r="BMN1" s="753"/>
      <c r="BMO1" s="753"/>
      <c r="BMP1" s="753"/>
      <c r="BMQ1" s="753"/>
      <c r="BMR1" s="753"/>
      <c r="BMS1" s="753"/>
      <c r="BMT1" s="753"/>
      <c r="BMU1" s="753"/>
      <c r="BMV1" s="753"/>
      <c r="BMW1" s="753"/>
      <c r="BMX1" s="753"/>
      <c r="BMY1" s="753"/>
      <c r="BMZ1" s="753"/>
      <c r="BNA1" s="753"/>
      <c r="BNB1" s="753"/>
      <c r="BNC1" s="753"/>
      <c r="BND1" s="753"/>
      <c r="BNE1" s="753"/>
      <c r="BNF1" s="753"/>
      <c r="BNG1" s="753"/>
      <c r="BNH1" s="753"/>
      <c r="BNI1" s="753"/>
      <c r="BNJ1" s="753"/>
      <c r="BNK1" s="753"/>
      <c r="BNL1" s="753"/>
      <c r="BNM1" s="753"/>
      <c r="BNN1" s="753"/>
      <c r="BNO1" s="753"/>
      <c r="BNP1" s="753"/>
      <c r="BNQ1" s="753"/>
      <c r="BNR1" s="753"/>
      <c r="BNS1" s="753"/>
      <c r="BNT1" s="753"/>
      <c r="BNU1" s="753"/>
      <c r="BNV1" s="753"/>
      <c r="BNW1" s="753"/>
      <c r="BNX1" s="753"/>
      <c r="BNY1" s="753"/>
      <c r="BNZ1" s="753"/>
      <c r="BOA1" s="753"/>
      <c r="BOB1" s="753"/>
      <c r="BOC1" s="753"/>
      <c r="BOD1" s="753"/>
      <c r="BOE1" s="753"/>
      <c r="BOF1" s="753"/>
      <c r="BOG1" s="753"/>
      <c r="BOH1" s="753"/>
      <c r="BOI1" s="753"/>
      <c r="BOJ1" s="753"/>
      <c r="BOK1" s="753"/>
      <c r="BOL1" s="753"/>
      <c r="BOM1" s="753"/>
      <c r="BON1" s="753"/>
      <c r="BOO1" s="753"/>
      <c r="BOP1" s="753"/>
      <c r="BOQ1" s="753"/>
      <c r="BOR1" s="753"/>
      <c r="BOS1" s="753"/>
      <c r="BOT1" s="753"/>
      <c r="BOU1" s="753"/>
      <c r="BOV1" s="753"/>
      <c r="BOW1" s="753"/>
      <c r="BOX1" s="753"/>
      <c r="BOY1" s="753"/>
      <c r="BOZ1" s="753"/>
      <c r="BPA1" s="753"/>
      <c r="BPB1" s="753"/>
      <c r="BPC1" s="753"/>
      <c r="BPD1" s="753"/>
      <c r="BPE1" s="753"/>
      <c r="BPF1" s="753"/>
      <c r="BPG1" s="753"/>
      <c r="BPH1" s="753"/>
      <c r="BPI1" s="753"/>
      <c r="BPJ1" s="753"/>
      <c r="BPK1" s="753"/>
      <c r="BPL1" s="753"/>
      <c r="BPM1" s="753"/>
      <c r="BPN1" s="753"/>
      <c r="BPO1" s="753"/>
      <c r="BPP1" s="753"/>
      <c r="BPQ1" s="753"/>
      <c r="BPR1" s="753"/>
      <c r="BPS1" s="753"/>
      <c r="BPT1" s="753"/>
      <c r="BPU1" s="753"/>
      <c r="BPV1" s="753"/>
      <c r="BPW1" s="753"/>
      <c r="BPX1" s="753"/>
      <c r="BPY1" s="753"/>
      <c r="BPZ1" s="753"/>
      <c r="BQA1" s="753"/>
      <c r="BQB1" s="753"/>
      <c r="BQC1" s="753"/>
      <c r="BQD1" s="753"/>
      <c r="BQE1" s="753"/>
      <c r="BQF1" s="753"/>
      <c r="BQG1" s="753"/>
      <c r="BQH1" s="753"/>
      <c r="BQI1" s="753"/>
      <c r="BQJ1" s="753"/>
      <c r="BQK1" s="753"/>
      <c r="BQL1" s="753"/>
      <c r="BQM1" s="753"/>
      <c r="BQN1" s="753"/>
      <c r="BQO1" s="753"/>
      <c r="BQP1" s="753"/>
      <c r="BQQ1" s="753"/>
      <c r="BQR1" s="753"/>
      <c r="BQS1" s="753"/>
      <c r="BQT1" s="753"/>
      <c r="BQU1" s="753"/>
      <c r="BQV1" s="753"/>
      <c r="BQW1" s="753"/>
      <c r="BQX1" s="753"/>
      <c r="BQY1" s="753"/>
      <c r="BQZ1" s="753"/>
      <c r="BRA1" s="753"/>
      <c r="BRB1" s="753"/>
      <c r="BRC1" s="753"/>
      <c r="BRD1" s="753"/>
      <c r="BRE1" s="753"/>
      <c r="BRF1" s="753"/>
      <c r="BRG1" s="753"/>
      <c r="BRH1" s="753"/>
      <c r="BRI1" s="753"/>
      <c r="BRJ1" s="753"/>
      <c r="BRK1" s="753"/>
      <c r="BRL1" s="753"/>
      <c r="BRM1" s="753"/>
      <c r="BRN1" s="753"/>
      <c r="BRO1" s="753"/>
      <c r="BRP1" s="753"/>
      <c r="BRQ1" s="753"/>
      <c r="BRR1" s="753"/>
      <c r="BRS1" s="753"/>
      <c r="BRT1" s="753"/>
      <c r="BRU1" s="753"/>
      <c r="BRV1" s="753"/>
      <c r="BRW1" s="753"/>
      <c r="BRX1" s="753"/>
      <c r="BRY1" s="753"/>
      <c r="BRZ1" s="753"/>
      <c r="BSA1" s="753"/>
      <c r="BSB1" s="753"/>
      <c r="BSC1" s="753"/>
      <c r="BSD1" s="753"/>
      <c r="BSE1" s="753"/>
      <c r="BSF1" s="753"/>
      <c r="BSG1" s="753"/>
      <c r="BSH1" s="753"/>
      <c r="BSI1" s="753"/>
      <c r="BSJ1" s="753"/>
      <c r="BSK1" s="753"/>
      <c r="BSL1" s="753"/>
      <c r="BSM1" s="753"/>
      <c r="BSN1" s="753"/>
      <c r="BSO1" s="753"/>
      <c r="BSP1" s="753"/>
      <c r="BSQ1" s="753"/>
      <c r="BSR1" s="753"/>
      <c r="BSS1" s="753"/>
      <c r="BST1" s="753"/>
      <c r="BSU1" s="753"/>
      <c r="BSV1" s="753"/>
      <c r="BSW1" s="753"/>
      <c r="BSX1" s="753"/>
      <c r="BSY1" s="753"/>
      <c r="BSZ1" s="753"/>
      <c r="BTA1" s="753"/>
      <c r="BTB1" s="753"/>
      <c r="BTC1" s="753"/>
      <c r="BTD1" s="753"/>
      <c r="BTE1" s="753"/>
      <c r="BTF1" s="753"/>
      <c r="BTG1" s="753"/>
      <c r="BTH1" s="753"/>
      <c r="BTI1" s="753"/>
      <c r="BTJ1" s="753"/>
      <c r="BTK1" s="753"/>
      <c r="BTL1" s="753"/>
      <c r="BTM1" s="753"/>
      <c r="BTN1" s="753"/>
      <c r="BTO1" s="753"/>
      <c r="BTP1" s="753"/>
      <c r="BTQ1" s="753"/>
      <c r="BTR1" s="753"/>
      <c r="BTS1" s="753"/>
      <c r="BTT1" s="753"/>
      <c r="BTU1" s="753"/>
      <c r="BTV1" s="753"/>
      <c r="BTW1" s="753"/>
      <c r="BTX1" s="753"/>
      <c r="BTY1" s="753"/>
      <c r="BTZ1" s="753"/>
      <c r="BUA1" s="753"/>
      <c r="BUB1" s="753"/>
      <c r="BUC1" s="753"/>
      <c r="BUD1" s="753"/>
      <c r="BUE1" s="753"/>
      <c r="BUF1" s="753"/>
      <c r="BUG1" s="753"/>
      <c r="BUH1" s="753"/>
      <c r="BUI1" s="753"/>
      <c r="BUJ1" s="753"/>
      <c r="BUK1" s="753"/>
      <c r="BUL1" s="753"/>
      <c r="BUM1" s="753"/>
      <c r="BUN1" s="753"/>
      <c r="BUO1" s="753"/>
      <c r="BUP1" s="753"/>
      <c r="BUQ1" s="753"/>
      <c r="BUR1" s="753"/>
      <c r="BUS1" s="753"/>
      <c r="BUT1" s="753"/>
      <c r="BUU1" s="753"/>
      <c r="BUV1" s="753"/>
      <c r="BUW1" s="753"/>
      <c r="BUX1" s="753"/>
      <c r="BUY1" s="753"/>
      <c r="BUZ1" s="753"/>
      <c r="BVA1" s="753"/>
      <c r="BVB1" s="753"/>
      <c r="BVC1" s="753"/>
      <c r="BVD1" s="753"/>
      <c r="BVE1" s="753"/>
      <c r="BVF1" s="753"/>
      <c r="BVG1" s="753"/>
      <c r="BVH1" s="753"/>
      <c r="BVI1" s="753"/>
      <c r="BVJ1" s="753"/>
      <c r="BVK1" s="753"/>
      <c r="BVL1" s="753"/>
      <c r="BVM1" s="753"/>
      <c r="BVN1" s="753"/>
      <c r="BVO1" s="753"/>
      <c r="BVP1" s="753"/>
      <c r="BVQ1" s="753"/>
      <c r="BVR1" s="753"/>
      <c r="BVS1" s="753"/>
      <c r="BVT1" s="753"/>
      <c r="BVU1" s="753"/>
      <c r="BVV1" s="753"/>
      <c r="BVW1" s="753"/>
      <c r="BVX1" s="753"/>
      <c r="BVY1" s="753"/>
      <c r="BVZ1" s="753"/>
      <c r="BWA1" s="753"/>
      <c r="BWB1" s="753"/>
      <c r="BWC1" s="753"/>
      <c r="BWD1" s="753"/>
      <c r="BWE1" s="753"/>
      <c r="BWF1" s="753"/>
      <c r="BWG1" s="753"/>
      <c r="BWH1" s="753"/>
      <c r="BWI1" s="753"/>
      <c r="BWJ1" s="753"/>
      <c r="BWK1" s="753"/>
      <c r="BWL1" s="753"/>
      <c r="BWM1" s="753"/>
      <c r="BWN1" s="753"/>
      <c r="BWO1" s="753"/>
      <c r="BWP1" s="753"/>
      <c r="BWQ1" s="753"/>
      <c r="BWR1" s="753"/>
      <c r="BWS1" s="753"/>
      <c r="BWT1" s="753"/>
      <c r="BWU1" s="753"/>
      <c r="BWV1" s="753"/>
      <c r="BWW1" s="753"/>
      <c r="BWX1" s="753"/>
      <c r="BWY1" s="753"/>
      <c r="BWZ1" s="753"/>
      <c r="BXA1" s="753"/>
      <c r="BXB1" s="753"/>
      <c r="BXC1" s="753"/>
      <c r="BXD1" s="753"/>
      <c r="BXE1" s="753"/>
      <c r="BXF1" s="753"/>
      <c r="BXG1" s="753"/>
      <c r="BXH1" s="753"/>
      <c r="BXI1" s="753"/>
      <c r="BXJ1" s="753"/>
      <c r="BXK1" s="753"/>
      <c r="BXL1" s="753"/>
      <c r="BXM1" s="753"/>
      <c r="BXN1" s="753"/>
      <c r="BXO1" s="753"/>
      <c r="BXP1" s="753"/>
      <c r="BXQ1" s="753"/>
      <c r="BXR1" s="753"/>
      <c r="BXS1" s="753"/>
      <c r="BXT1" s="753"/>
      <c r="BXU1" s="753"/>
      <c r="BXV1" s="753"/>
      <c r="BXW1" s="753"/>
      <c r="BXX1" s="753"/>
      <c r="BXY1" s="753"/>
      <c r="BXZ1" s="753"/>
      <c r="BYA1" s="753"/>
      <c r="BYB1" s="753"/>
      <c r="BYC1" s="753"/>
      <c r="BYD1" s="753"/>
      <c r="BYE1" s="753"/>
      <c r="BYF1" s="753"/>
      <c r="BYG1" s="753"/>
      <c r="BYH1" s="753"/>
      <c r="BYI1" s="753"/>
      <c r="BYJ1" s="753"/>
      <c r="BYK1" s="753"/>
      <c r="BYL1" s="753"/>
      <c r="BYM1" s="753"/>
      <c r="BYN1" s="753"/>
      <c r="BYO1" s="753"/>
      <c r="BYP1" s="753"/>
      <c r="BYQ1" s="753"/>
      <c r="BYR1" s="753"/>
      <c r="BYS1" s="753"/>
      <c r="BYT1" s="753"/>
      <c r="BYU1" s="753"/>
      <c r="BYV1" s="753"/>
      <c r="BYW1" s="753"/>
      <c r="BYX1" s="753"/>
      <c r="BYY1" s="753"/>
      <c r="BYZ1" s="753"/>
      <c r="BZA1" s="753"/>
      <c r="BZB1" s="753"/>
      <c r="BZC1" s="753"/>
      <c r="BZD1" s="753"/>
      <c r="BZE1" s="753"/>
      <c r="BZF1" s="753"/>
      <c r="BZG1" s="753"/>
      <c r="BZH1" s="753"/>
      <c r="BZI1" s="753"/>
      <c r="BZJ1" s="753"/>
      <c r="BZK1" s="753"/>
      <c r="BZL1" s="753"/>
      <c r="BZM1" s="753"/>
      <c r="BZN1" s="753"/>
      <c r="BZO1" s="753"/>
      <c r="BZP1" s="753"/>
      <c r="BZQ1" s="753"/>
      <c r="BZR1" s="753"/>
      <c r="BZS1" s="753"/>
      <c r="BZT1" s="753"/>
      <c r="BZU1" s="753"/>
      <c r="BZV1" s="753"/>
      <c r="BZW1" s="753"/>
      <c r="BZX1" s="753"/>
      <c r="BZY1" s="753"/>
      <c r="BZZ1" s="753"/>
      <c r="CAA1" s="753"/>
      <c r="CAB1" s="753"/>
      <c r="CAC1" s="753"/>
      <c r="CAD1" s="753"/>
      <c r="CAE1" s="753"/>
      <c r="CAF1" s="753"/>
      <c r="CAG1" s="753"/>
      <c r="CAH1" s="753"/>
      <c r="CAI1" s="753"/>
      <c r="CAJ1" s="753"/>
      <c r="CAK1" s="753"/>
      <c r="CAL1" s="753"/>
      <c r="CAM1" s="753"/>
      <c r="CAN1" s="753"/>
      <c r="CAO1" s="753"/>
      <c r="CAP1" s="753"/>
      <c r="CAQ1" s="753"/>
      <c r="CAR1" s="753"/>
      <c r="CAS1" s="753"/>
      <c r="CAT1" s="753"/>
      <c r="CAU1" s="753"/>
      <c r="CAV1" s="753"/>
      <c r="CAW1" s="753"/>
      <c r="CAX1" s="753"/>
      <c r="CAY1" s="753"/>
      <c r="CAZ1" s="753"/>
      <c r="CBA1" s="753"/>
      <c r="CBB1" s="753"/>
      <c r="CBC1" s="753"/>
      <c r="CBD1" s="753"/>
      <c r="CBE1" s="753"/>
      <c r="CBF1" s="753"/>
      <c r="CBG1" s="753"/>
      <c r="CBH1" s="753"/>
      <c r="CBI1" s="753"/>
      <c r="CBJ1" s="753"/>
      <c r="CBK1" s="753"/>
      <c r="CBL1" s="753"/>
      <c r="CBM1" s="753"/>
      <c r="CBN1" s="753"/>
      <c r="CBO1" s="753"/>
      <c r="CBP1" s="753"/>
      <c r="CBQ1" s="753"/>
      <c r="CBR1" s="753"/>
      <c r="CBS1" s="753"/>
      <c r="CBT1" s="753"/>
      <c r="CBU1" s="753"/>
      <c r="CBV1" s="753"/>
      <c r="CBW1" s="753"/>
      <c r="CBX1" s="753"/>
      <c r="CBY1" s="753"/>
      <c r="CBZ1" s="753"/>
      <c r="CCA1" s="753"/>
      <c r="CCB1" s="753"/>
      <c r="CCC1" s="753"/>
      <c r="CCD1" s="753"/>
      <c r="CCE1" s="753"/>
      <c r="CCF1" s="753"/>
      <c r="CCG1" s="753"/>
      <c r="CCH1" s="753"/>
      <c r="CCI1" s="753"/>
      <c r="CCJ1" s="753"/>
      <c r="CCK1" s="753"/>
      <c r="CCL1" s="753"/>
      <c r="CCM1" s="753"/>
      <c r="CCN1" s="753"/>
      <c r="CCO1" s="753"/>
      <c r="CCP1" s="753"/>
      <c r="CCQ1" s="753"/>
      <c r="CCR1" s="753"/>
      <c r="CCS1" s="753"/>
      <c r="CCT1" s="753"/>
      <c r="CCU1" s="753"/>
      <c r="CCV1" s="753"/>
      <c r="CCW1" s="753"/>
      <c r="CCX1" s="753"/>
      <c r="CCY1" s="753"/>
      <c r="CCZ1" s="753"/>
      <c r="CDA1" s="753"/>
      <c r="CDB1" s="753"/>
      <c r="CDC1" s="753"/>
      <c r="CDD1" s="753"/>
      <c r="CDE1" s="753"/>
      <c r="CDF1" s="753"/>
      <c r="CDG1" s="753"/>
      <c r="CDH1" s="753"/>
      <c r="CDI1" s="753"/>
      <c r="CDJ1" s="753"/>
      <c r="CDK1" s="753"/>
      <c r="CDL1" s="753"/>
      <c r="CDM1" s="753"/>
      <c r="CDN1" s="753"/>
      <c r="CDO1" s="753"/>
      <c r="CDP1" s="753"/>
      <c r="CDQ1" s="753"/>
      <c r="CDR1" s="753"/>
      <c r="CDS1" s="753"/>
      <c r="CDT1" s="753"/>
      <c r="CDU1" s="753"/>
      <c r="CDV1" s="753"/>
      <c r="CDW1" s="753"/>
      <c r="CDX1" s="753"/>
      <c r="CDY1" s="753"/>
      <c r="CDZ1" s="753"/>
      <c r="CEA1" s="753"/>
      <c r="CEB1" s="753"/>
      <c r="CEC1" s="753"/>
      <c r="CED1" s="753"/>
      <c r="CEE1" s="753"/>
      <c r="CEF1" s="753"/>
      <c r="CEG1" s="753"/>
      <c r="CEH1" s="753"/>
      <c r="CEI1" s="753"/>
      <c r="CEJ1" s="753"/>
      <c r="CEK1" s="753"/>
      <c r="CEL1" s="753"/>
      <c r="CEM1" s="753"/>
      <c r="CEN1" s="753"/>
      <c r="CEO1" s="753"/>
      <c r="CEP1" s="753"/>
      <c r="CEQ1" s="753"/>
      <c r="CER1" s="753"/>
      <c r="CES1" s="753"/>
      <c r="CET1" s="753"/>
      <c r="CEU1" s="753"/>
      <c r="CEV1" s="753"/>
      <c r="CEW1" s="753"/>
      <c r="CEX1" s="753"/>
      <c r="CEY1" s="753"/>
      <c r="CEZ1" s="753"/>
      <c r="CFA1" s="753"/>
      <c r="CFB1" s="753"/>
      <c r="CFC1" s="753"/>
      <c r="CFD1" s="753"/>
      <c r="CFE1" s="753"/>
      <c r="CFF1" s="753"/>
      <c r="CFG1" s="753"/>
      <c r="CFH1" s="753"/>
      <c r="CFI1" s="753"/>
      <c r="CFJ1" s="753"/>
      <c r="CFK1" s="753"/>
      <c r="CFL1" s="753"/>
      <c r="CFM1" s="753"/>
      <c r="CFN1" s="753"/>
      <c r="CFO1" s="753"/>
      <c r="CFP1" s="753"/>
      <c r="CFQ1" s="753"/>
      <c r="CFR1" s="753"/>
      <c r="CFS1" s="753"/>
      <c r="CFT1" s="753"/>
      <c r="CFU1" s="753"/>
      <c r="CFV1" s="753"/>
      <c r="CFW1" s="753"/>
      <c r="CFX1" s="753"/>
      <c r="CFY1" s="753"/>
      <c r="CFZ1" s="753"/>
      <c r="CGA1" s="753"/>
      <c r="CGB1" s="753"/>
      <c r="CGC1" s="753"/>
      <c r="CGD1" s="753"/>
      <c r="CGE1" s="753"/>
      <c r="CGF1" s="753"/>
      <c r="CGG1" s="753"/>
      <c r="CGH1" s="753"/>
      <c r="CGI1" s="753"/>
      <c r="CGJ1" s="753"/>
      <c r="CGK1" s="753"/>
      <c r="CGL1" s="753"/>
      <c r="CGM1" s="753"/>
      <c r="CGN1" s="753"/>
      <c r="CGO1" s="753"/>
      <c r="CGP1" s="753"/>
      <c r="CGQ1" s="753"/>
      <c r="CGR1" s="753"/>
      <c r="CGS1" s="753"/>
      <c r="CGT1" s="753"/>
      <c r="CGU1" s="753"/>
      <c r="CGV1" s="753"/>
      <c r="CGW1" s="753"/>
      <c r="CGX1" s="753"/>
      <c r="CGY1" s="753"/>
      <c r="CGZ1" s="753"/>
      <c r="CHA1" s="753"/>
      <c r="CHB1" s="753"/>
      <c r="CHC1" s="753"/>
      <c r="CHD1" s="753"/>
      <c r="CHE1" s="753"/>
      <c r="CHF1" s="753"/>
      <c r="CHG1" s="753"/>
      <c r="CHH1" s="753"/>
      <c r="CHI1" s="753"/>
      <c r="CHJ1" s="753"/>
      <c r="CHK1" s="753"/>
      <c r="CHL1" s="753"/>
      <c r="CHM1" s="753"/>
      <c r="CHN1" s="753"/>
      <c r="CHO1" s="753"/>
      <c r="CHP1" s="753"/>
      <c r="CHQ1" s="753"/>
      <c r="CHR1" s="753"/>
      <c r="CHS1" s="753"/>
      <c r="CHT1" s="753"/>
      <c r="CHU1" s="753"/>
      <c r="CHV1" s="753"/>
      <c r="CHW1" s="753"/>
      <c r="CHX1" s="753"/>
      <c r="CHY1" s="753"/>
      <c r="CHZ1" s="753"/>
      <c r="CIA1" s="753"/>
      <c r="CIB1" s="753"/>
      <c r="CIC1" s="753"/>
      <c r="CID1" s="753"/>
      <c r="CIE1" s="753"/>
      <c r="CIF1" s="753"/>
      <c r="CIG1" s="753"/>
      <c r="CIH1" s="753"/>
      <c r="CII1" s="753"/>
      <c r="CIJ1" s="753"/>
      <c r="CIK1" s="753"/>
      <c r="CIL1" s="753"/>
      <c r="CIM1" s="753"/>
      <c r="CIN1" s="753"/>
      <c r="CIO1" s="753"/>
      <c r="CIP1" s="753"/>
      <c r="CIQ1" s="753"/>
      <c r="CIR1" s="753"/>
      <c r="CIS1" s="753"/>
      <c r="CIT1" s="753"/>
      <c r="CIU1" s="753"/>
      <c r="CIV1" s="753"/>
      <c r="CIW1" s="753"/>
      <c r="CIX1" s="753"/>
      <c r="CIY1" s="753"/>
      <c r="CIZ1" s="753"/>
      <c r="CJA1" s="753"/>
      <c r="CJB1" s="753"/>
      <c r="CJC1" s="753"/>
      <c r="CJD1" s="753"/>
      <c r="CJE1" s="753"/>
      <c r="CJF1" s="753"/>
      <c r="CJG1" s="753"/>
      <c r="CJH1" s="753"/>
      <c r="CJI1" s="753"/>
      <c r="CJJ1" s="753"/>
      <c r="CJK1" s="753"/>
      <c r="CJL1" s="753"/>
      <c r="CJM1" s="753"/>
      <c r="CJN1" s="753"/>
      <c r="CJO1" s="753"/>
      <c r="CJP1" s="753"/>
      <c r="CJQ1" s="753"/>
      <c r="CJR1" s="753"/>
      <c r="CJS1" s="753"/>
      <c r="CJT1" s="753"/>
      <c r="CJU1" s="753"/>
      <c r="CJV1" s="753"/>
      <c r="CJW1" s="753"/>
      <c r="CJX1" s="753"/>
      <c r="CJY1" s="753"/>
      <c r="CJZ1" s="753"/>
      <c r="CKA1" s="753"/>
      <c r="CKB1" s="753"/>
      <c r="CKC1" s="753"/>
      <c r="CKD1" s="753"/>
      <c r="CKE1" s="753"/>
      <c r="CKF1" s="753"/>
      <c r="CKG1" s="753"/>
      <c r="CKH1" s="753"/>
      <c r="CKI1" s="753"/>
      <c r="CKJ1" s="753"/>
      <c r="CKK1" s="753"/>
      <c r="CKL1" s="753"/>
      <c r="CKM1" s="753"/>
      <c r="CKN1" s="753"/>
      <c r="CKO1" s="753"/>
      <c r="CKP1" s="753"/>
      <c r="CKQ1" s="753"/>
      <c r="CKR1" s="753"/>
      <c r="CKS1" s="753"/>
      <c r="CKT1" s="753"/>
      <c r="CKU1" s="753"/>
      <c r="CKV1" s="753"/>
      <c r="CKW1" s="753"/>
      <c r="CKX1" s="753"/>
      <c r="CKY1" s="753"/>
      <c r="CKZ1" s="753"/>
      <c r="CLA1" s="753"/>
      <c r="CLB1" s="753"/>
      <c r="CLC1" s="753"/>
      <c r="CLD1" s="753"/>
      <c r="CLE1" s="753"/>
      <c r="CLF1" s="753"/>
      <c r="CLG1" s="753"/>
      <c r="CLH1" s="753"/>
      <c r="CLI1" s="753"/>
      <c r="CLJ1" s="753"/>
      <c r="CLK1" s="753"/>
      <c r="CLL1" s="753"/>
      <c r="CLM1" s="753"/>
      <c r="CLN1" s="753"/>
      <c r="CLO1" s="753"/>
      <c r="CLP1" s="753"/>
      <c r="CLQ1" s="753"/>
      <c r="CLR1" s="753"/>
      <c r="CLS1" s="753"/>
      <c r="CLT1" s="753"/>
      <c r="CLU1" s="753"/>
      <c r="CLV1" s="753"/>
      <c r="CLW1" s="753"/>
      <c r="CLX1" s="753"/>
      <c r="CLY1" s="753"/>
      <c r="CLZ1" s="753"/>
      <c r="CMA1" s="753"/>
      <c r="CMB1" s="753"/>
      <c r="CMC1" s="753"/>
      <c r="CMD1" s="753"/>
      <c r="CME1" s="753"/>
      <c r="CMF1" s="753"/>
      <c r="CMG1" s="753"/>
      <c r="CMH1" s="753"/>
      <c r="CMI1" s="753"/>
      <c r="CMJ1" s="753"/>
      <c r="CMK1" s="753"/>
      <c r="CML1" s="753"/>
      <c r="CMM1" s="753"/>
      <c r="CMN1" s="753"/>
      <c r="CMO1" s="753"/>
      <c r="CMP1" s="753"/>
      <c r="CMQ1" s="753"/>
      <c r="CMR1" s="753"/>
      <c r="CMS1" s="753"/>
      <c r="CMT1" s="753"/>
      <c r="CMU1" s="753"/>
      <c r="CMV1" s="753"/>
      <c r="CMW1" s="753"/>
      <c r="CMX1" s="753"/>
      <c r="CMY1" s="753"/>
      <c r="CMZ1" s="753"/>
      <c r="CNA1" s="753"/>
      <c r="CNB1" s="753"/>
      <c r="CNC1" s="753"/>
      <c r="CND1" s="753"/>
      <c r="CNE1" s="753"/>
      <c r="CNF1" s="753"/>
      <c r="CNG1" s="753"/>
      <c r="CNH1" s="753"/>
      <c r="CNI1" s="753"/>
      <c r="CNJ1" s="753"/>
      <c r="CNK1" s="753"/>
      <c r="CNL1" s="753"/>
      <c r="CNM1" s="753"/>
      <c r="CNN1" s="753"/>
      <c r="CNO1" s="753"/>
      <c r="CNP1" s="753"/>
      <c r="CNQ1" s="753"/>
      <c r="CNR1" s="753"/>
      <c r="CNS1" s="753"/>
      <c r="CNT1" s="753"/>
      <c r="CNU1" s="753"/>
      <c r="CNV1" s="753"/>
      <c r="CNW1" s="753"/>
      <c r="CNX1" s="753"/>
      <c r="CNY1" s="753"/>
      <c r="CNZ1" s="753"/>
      <c r="COA1" s="753"/>
      <c r="COB1" s="753"/>
      <c r="COC1" s="753"/>
      <c r="COD1" s="753"/>
      <c r="COE1" s="753"/>
      <c r="COF1" s="753"/>
      <c r="COG1" s="753"/>
      <c r="COH1" s="753"/>
      <c r="COI1" s="753"/>
      <c r="COJ1" s="753"/>
      <c r="COK1" s="753"/>
      <c r="COL1" s="753"/>
      <c r="COM1" s="753"/>
      <c r="CON1" s="753"/>
      <c r="COO1" s="753"/>
      <c r="COP1" s="753"/>
      <c r="COQ1" s="753"/>
      <c r="COR1" s="753"/>
      <c r="COS1" s="753"/>
      <c r="COT1" s="753"/>
      <c r="COU1" s="753"/>
      <c r="COV1" s="753"/>
      <c r="COW1" s="753"/>
      <c r="COX1" s="753"/>
      <c r="COY1" s="753"/>
      <c r="COZ1" s="753"/>
      <c r="CPA1" s="753"/>
      <c r="CPB1" s="753"/>
      <c r="CPC1" s="753"/>
      <c r="CPD1" s="753"/>
      <c r="CPE1" s="753"/>
      <c r="CPF1" s="753"/>
      <c r="CPG1" s="753"/>
      <c r="CPH1" s="753"/>
      <c r="CPI1" s="753"/>
      <c r="CPJ1" s="753"/>
      <c r="CPK1" s="753"/>
      <c r="CPL1" s="753"/>
      <c r="CPM1" s="753"/>
      <c r="CPN1" s="753"/>
      <c r="CPO1" s="753"/>
      <c r="CPP1" s="753"/>
      <c r="CPQ1" s="753"/>
      <c r="CPR1" s="753"/>
      <c r="CPS1" s="753"/>
      <c r="CPT1" s="753"/>
      <c r="CPU1" s="753"/>
      <c r="CPV1" s="753"/>
      <c r="CPW1" s="753"/>
      <c r="CPX1" s="753"/>
      <c r="CPY1" s="753"/>
      <c r="CPZ1" s="753"/>
      <c r="CQA1" s="753"/>
      <c r="CQB1" s="753"/>
      <c r="CQC1" s="753"/>
      <c r="CQD1" s="753"/>
      <c r="CQE1" s="753"/>
      <c r="CQF1" s="753"/>
      <c r="CQG1" s="753"/>
      <c r="CQH1" s="753"/>
      <c r="CQI1" s="753"/>
      <c r="CQJ1" s="753"/>
      <c r="CQK1" s="753"/>
      <c r="CQL1" s="753"/>
      <c r="CQM1" s="753"/>
      <c r="CQN1" s="753"/>
      <c r="CQO1" s="753"/>
      <c r="CQP1" s="753"/>
      <c r="CQQ1" s="753"/>
      <c r="CQR1" s="753"/>
      <c r="CQS1" s="753"/>
      <c r="CQT1" s="753"/>
      <c r="CQU1" s="753"/>
      <c r="CQV1" s="753"/>
      <c r="CQW1" s="753"/>
      <c r="CQX1" s="753"/>
      <c r="CQY1" s="753"/>
      <c r="CQZ1" s="753"/>
      <c r="CRA1" s="753"/>
      <c r="CRB1" s="753"/>
      <c r="CRC1" s="753"/>
      <c r="CRD1" s="753"/>
      <c r="CRE1" s="753"/>
      <c r="CRF1" s="753"/>
      <c r="CRG1" s="753"/>
      <c r="CRH1" s="753"/>
      <c r="CRI1" s="753"/>
      <c r="CRJ1" s="753"/>
      <c r="CRK1" s="753"/>
      <c r="CRL1" s="753"/>
      <c r="CRM1" s="753"/>
      <c r="CRN1" s="753"/>
      <c r="CRO1" s="753"/>
      <c r="CRP1" s="753"/>
      <c r="CRQ1" s="753"/>
      <c r="CRR1" s="753"/>
      <c r="CRS1" s="753"/>
      <c r="CRT1" s="753"/>
      <c r="CRU1" s="753"/>
      <c r="CRV1" s="753"/>
      <c r="CRW1" s="753"/>
      <c r="CRX1" s="753"/>
      <c r="CRY1" s="753"/>
      <c r="CRZ1" s="753"/>
      <c r="CSA1" s="753"/>
      <c r="CSB1" s="753"/>
      <c r="CSC1" s="753"/>
      <c r="CSD1" s="753"/>
      <c r="CSE1" s="753"/>
      <c r="CSF1" s="753"/>
      <c r="CSG1" s="753"/>
      <c r="CSH1" s="753"/>
      <c r="CSI1" s="753"/>
      <c r="CSJ1" s="753"/>
      <c r="CSK1" s="753"/>
      <c r="CSL1" s="753"/>
      <c r="CSM1" s="753"/>
      <c r="CSN1" s="753"/>
      <c r="CSO1" s="753"/>
      <c r="CSP1" s="753"/>
      <c r="CSQ1" s="753"/>
      <c r="CSR1" s="753"/>
      <c r="CSS1" s="753"/>
      <c r="CST1" s="753"/>
      <c r="CSU1" s="753"/>
      <c r="CSV1" s="753"/>
      <c r="CSW1" s="753"/>
      <c r="CSX1" s="753"/>
      <c r="CSY1" s="753"/>
      <c r="CSZ1" s="753"/>
      <c r="CTA1" s="753"/>
      <c r="CTB1" s="753"/>
      <c r="CTC1" s="753"/>
      <c r="CTD1" s="753"/>
      <c r="CTE1" s="753"/>
      <c r="CTF1" s="753"/>
      <c r="CTG1" s="753"/>
      <c r="CTH1" s="753"/>
      <c r="CTI1" s="753"/>
      <c r="CTJ1" s="753"/>
      <c r="CTK1" s="753"/>
      <c r="CTL1" s="753"/>
      <c r="CTM1" s="753"/>
      <c r="CTN1" s="753"/>
      <c r="CTO1" s="753"/>
      <c r="CTP1" s="753"/>
      <c r="CTQ1" s="753"/>
      <c r="CTR1" s="753"/>
      <c r="CTS1" s="753"/>
      <c r="CTT1" s="753"/>
      <c r="CTU1" s="753"/>
      <c r="CTV1" s="753"/>
      <c r="CTW1" s="753"/>
      <c r="CTX1" s="753"/>
      <c r="CTY1" s="753"/>
      <c r="CTZ1" s="753"/>
      <c r="CUA1" s="753"/>
      <c r="CUB1" s="753"/>
      <c r="CUC1" s="753"/>
      <c r="CUD1" s="753"/>
      <c r="CUE1" s="753"/>
      <c r="CUF1" s="753"/>
      <c r="CUG1" s="753"/>
      <c r="CUH1" s="753"/>
      <c r="CUI1" s="753"/>
      <c r="CUJ1" s="753"/>
      <c r="CUK1" s="753"/>
      <c r="CUL1" s="753"/>
      <c r="CUM1" s="753"/>
      <c r="CUN1" s="753"/>
      <c r="CUO1" s="753"/>
      <c r="CUP1" s="753"/>
      <c r="CUQ1" s="753"/>
      <c r="CUR1" s="753"/>
      <c r="CUS1" s="753"/>
      <c r="CUT1" s="753"/>
      <c r="CUU1" s="753"/>
      <c r="CUV1" s="753"/>
      <c r="CUW1" s="753"/>
      <c r="CUX1" s="753"/>
      <c r="CUY1" s="753"/>
      <c r="CUZ1" s="753"/>
      <c r="CVA1" s="753"/>
      <c r="CVB1" s="753"/>
      <c r="CVC1" s="753"/>
      <c r="CVD1" s="753"/>
      <c r="CVE1" s="753"/>
      <c r="CVF1" s="753"/>
      <c r="CVG1" s="753"/>
      <c r="CVH1" s="753"/>
      <c r="CVI1" s="753"/>
      <c r="CVJ1" s="753"/>
      <c r="CVK1" s="753"/>
      <c r="CVL1" s="753"/>
      <c r="CVM1" s="753"/>
      <c r="CVN1" s="753"/>
      <c r="CVO1" s="753"/>
      <c r="CVP1" s="753"/>
      <c r="CVQ1" s="753"/>
      <c r="CVR1" s="753"/>
      <c r="CVS1" s="753"/>
      <c r="CVT1" s="753"/>
      <c r="CVU1" s="753"/>
      <c r="CVV1" s="753"/>
      <c r="CVW1" s="753"/>
      <c r="CVX1" s="753"/>
      <c r="CVY1" s="753"/>
      <c r="CVZ1" s="753"/>
      <c r="CWA1" s="753"/>
      <c r="CWB1" s="753"/>
      <c r="CWC1" s="753"/>
      <c r="CWD1" s="753"/>
      <c r="CWE1" s="753"/>
      <c r="CWF1" s="753"/>
      <c r="CWG1" s="753"/>
      <c r="CWH1" s="753"/>
      <c r="CWI1" s="753"/>
      <c r="CWJ1" s="753"/>
      <c r="CWK1" s="753"/>
      <c r="CWL1" s="753"/>
      <c r="CWM1" s="753"/>
      <c r="CWN1" s="753"/>
      <c r="CWO1" s="753"/>
      <c r="CWP1" s="753"/>
      <c r="CWQ1" s="753"/>
      <c r="CWR1" s="753"/>
      <c r="CWS1" s="753"/>
      <c r="CWT1" s="753"/>
      <c r="CWU1" s="753"/>
      <c r="CWV1" s="753"/>
      <c r="CWW1" s="753"/>
      <c r="CWX1" s="753"/>
      <c r="CWY1" s="753"/>
      <c r="CWZ1" s="753"/>
      <c r="CXA1" s="753"/>
      <c r="CXB1" s="753"/>
      <c r="CXC1" s="753"/>
      <c r="CXD1" s="753"/>
      <c r="CXE1" s="753"/>
      <c r="CXF1" s="753"/>
      <c r="CXG1" s="753"/>
      <c r="CXH1" s="753"/>
      <c r="CXI1" s="753"/>
      <c r="CXJ1" s="753"/>
      <c r="CXK1" s="753"/>
      <c r="CXL1" s="753"/>
      <c r="CXM1" s="753"/>
      <c r="CXN1" s="753"/>
      <c r="CXO1" s="753"/>
      <c r="CXP1" s="753"/>
      <c r="CXQ1" s="753"/>
      <c r="CXR1" s="753"/>
      <c r="CXS1" s="753"/>
      <c r="CXT1" s="753"/>
      <c r="CXU1" s="753"/>
      <c r="CXV1" s="753"/>
      <c r="CXW1" s="753"/>
      <c r="CXX1" s="753"/>
      <c r="CXY1" s="753"/>
      <c r="CXZ1" s="753"/>
      <c r="CYA1" s="753"/>
      <c r="CYB1" s="753"/>
      <c r="CYC1" s="753"/>
      <c r="CYD1" s="753"/>
      <c r="CYE1" s="753"/>
      <c r="CYF1" s="753"/>
      <c r="CYG1" s="753"/>
      <c r="CYH1" s="753"/>
      <c r="CYI1" s="753"/>
      <c r="CYJ1" s="753"/>
      <c r="CYK1" s="753"/>
      <c r="CYL1" s="753"/>
      <c r="CYM1" s="753"/>
      <c r="CYN1" s="753"/>
      <c r="CYO1" s="753"/>
      <c r="CYP1" s="753"/>
      <c r="CYQ1" s="753"/>
      <c r="CYR1" s="753"/>
      <c r="CYS1" s="753"/>
      <c r="CYT1" s="753"/>
      <c r="CYU1" s="753"/>
      <c r="CYV1" s="753"/>
      <c r="CYW1" s="753"/>
      <c r="CYX1" s="753"/>
      <c r="CYY1" s="753"/>
      <c r="CYZ1" s="753"/>
      <c r="CZA1" s="753"/>
      <c r="CZB1" s="753"/>
      <c r="CZC1" s="753"/>
      <c r="CZD1" s="753"/>
      <c r="CZE1" s="753"/>
      <c r="CZF1" s="753"/>
      <c r="CZG1" s="753"/>
      <c r="CZH1" s="753"/>
      <c r="CZI1" s="753"/>
      <c r="CZJ1" s="753"/>
      <c r="CZK1" s="753"/>
      <c r="CZL1" s="753"/>
      <c r="CZM1" s="753"/>
      <c r="CZN1" s="753"/>
      <c r="CZO1" s="753"/>
      <c r="CZP1" s="753"/>
      <c r="CZQ1" s="753"/>
      <c r="CZR1" s="753"/>
      <c r="CZS1" s="753"/>
      <c r="CZT1" s="753"/>
      <c r="CZU1" s="753"/>
      <c r="CZV1" s="753"/>
      <c r="CZW1" s="753"/>
      <c r="CZX1" s="753"/>
      <c r="CZY1" s="753"/>
      <c r="CZZ1" s="753"/>
      <c r="DAA1" s="753"/>
      <c r="DAB1" s="753"/>
      <c r="DAC1" s="753"/>
      <c r="DAD1" s="753"/>
      <c r="DAE1" s="753"/>
      <c r="DAF1" s="753"/>
      <c r="DAG1" s="753"/>
      <c r="DAH1" s="753"/>
      <c r="DAI1" s="753"/>
      <c r="DAJ1" s="753"/>
      <c r="DAK1" s="753"/>
      <c r="DAL1" s="753"/>
      <c r="DAM1" s="753"/>
      <c r="DAN1" s="753"/>
      <c r="DAO1" s="753"/>
      <c r="DAP1" s="753"/>
      <c r="DAQ1" s="753"/>
      <c r="DAR1" s="753"/>
      <c r="DAS1" s="753"/>
      <c r="DAT1" s="753"/>
      <c r="DAU1" s="753"/>
      <c r="DAV1" s="753"/>
      <c r="DAW1" s="753"/>
      <c r="DAX1" s="753"/>
      <c r="DAY1" s="753"/>
      <c r="DAZ1" s="753"/>
      <c r="DBA1" s="753"/>
      <c r="DBB1" s="753"/>
      <c r="DBC1" s="753"/>
      <c r="DBD1" s="753"/>
      <c r="DBE1" s="753"/>
      <c r="DBF1" s="753"/>
      <c r="DBG1" s="753"/>
      <c r="DBH1" s="753"/>
      <c r="DBI1" s="753"/>
      <c r="DBJ1" s="753"/>
      <c r="DBK1" s="753"/>
      <c r="DBL1" s="753"/>
      <c r="DBM1" s="753"/>
      <c r="DBN1" s="753"/>
      <c r="DBO1" s="753"/>
      <c r="DBP1" s="753"/>
      <c r="DBQ1" s="753"/>
      <c r="DBR1" s="753"/>
      <c r="DBS1" s="753"/>
      <c r="DBT1" s="753"/>
      <c r="DBU1" s="753"/>
      <c r="DBV1" s="753"/>
      <c r="DBW1" s="753"/>
      <c r="DBX1" s="753"/>
      <c r="DBY1" s="753"/>
      <c r="DBZ1" s="753"/>
      <c r="DCA1" s="753"/>
      <c r="DCB1" s="753"/>
      <c r="DCC1" s="753"/>
      <c r="DCD1" s="753"/>
      <c r="DCE1" s="753"/>
      <c r="DCF1" s="753"/>
      <c r="DCG1" s="753"/>
      <c r="DCH1" s="753"/>
      <c r="DCI1" s="753"/>
      <c r="DCJ1" s="753"/>
      <c r="DCK1" s="753"/>
      <c r="DCL1" s="753"/>
      <c r="DCM1" s="753"/>
      <c r="DCN1" s="753"/>
      <c r="DCO1" s="753"/>
      <c r="DCP1" s="753"/>
      <c r="DCQ1" s="753"/>
      <c r="DCR1" s="753"/>
      <c r="DCS1" s="753"/>
      <c r="DCT1" s="753"/>
      <c r="DCU1" s="753"/>
      <c r="DCV1" s="753"/>
      <c r="DCW1" s="753"/>
      <c r="DCX1" s="753"/>
      <c r="DCY1" s="753"/>
      <c r="DCZ1" s="753"/>
      <c r="DDA1" s="753"/>
      <c r="DDB1" s="753"/>
      <c r="DDC1" s="753"/>
      <c r="DDD1" s="753"/>
      <c r="DDE1" s="753"/>
      <c r="DDF1" s="753"/>
      <c r="DDG1" s="753"/>
      <c r="DDH1" s="753"/>
      <c r="DDI1" s="753"/>
      <c r="DDJ1" s="753"/>
      <c r="DDK1" s="753"/>
      <c r="DDL1" s="753"/>
      <c r="DDM1" s="753"/>
      <c r="DDN1" s="753"/>
      <c r="DDO1" s="753"/>
      <c r="DDP1" s="753"/>
      <c r="DDQ1" s="753"/>
      <c r="DDR1" s="753"/>
      <c r="DDS1" s="753"/>
      <c r="DDT1" s="753"/>
      <c r="DDU1" s="753"/>
      <c r="DDV1" s="753"/>
      <c r="DDW1" s="753"/>
      <c r="DDX1" s="753"/>
      <c r="DDY1" s="753"/>
      <c r="DDZ1" s="753"/>
      <c r="DEA1" s="753"/>
      <c r="DEB1" s="753"/>
      <c r="DEC1" s="753"/>
      <c r="DED1" s="753"/>
      <c r="DEE1" s="753"/>
      <c r="DEF1" s="753"/>
      <c r="DEG1" s="753"/>
      <c r="DEH1" s="753"/>
      <c r="DEI1" s="753"/>
      <c r="DEJ1" s="753"/>
      <c r="DEK1" s="753"/>
      <c r="DEL1" s="753"/>
      <c r="DEM1" s="753"/>
      <c r="DEN1" s="753"/>
      <c r="DEO1" s="753"/>
      <c r="DEP1" s="753"/>
      <c r="DEQ1" s="753"/>
      <c r="DER1" s="753"/>
      <c r="DES1" s="753"/>
      <c r="DET1" s="753"/>
      <c r="DEU1" s="753"/>
      <c r="DEV1" s="753"/>
      <c r="DEW1" s="753"/>
      <c r="DEX1" s="753"/>
      <c r="DEY1" s="753"/>
      <c r="DEZ1" s="753"/>
      <c r="DFA1" s="753"/>
      <c r="DFB1" s="753"/>
      <c r="DFC1" s="753"/>
      <c r="DFD1" s="753"/>
      <c r="DFE1" s="753"/>
      <c r="DFF1" s="753"/>
      <c r="DFG1" s="753"/>
      <c r="DFH1" s="753"/>
      <c r="DFI1" s="753"/>
      <c r="DFJ1" s="753"/>
      <c r="DFK1" s="753"/>
      <c r="DFL1" s="753"/>
      <c r="DFM1" s="753"/>
      <c r="DFN1" s="753"/>
      <c r="DFO1" s="753"/>
      <c r="DFP1" s="753"/>
      <c r="DFQ1" s="753"/>
      <c r="DFR1" s="753"/>
      <c r="DFS1" s="753"/>
      <c r="DFT1" s="753"/>
      <c r="DFU1" s="753"/>
      <c r="DFV1" s="753"/>
      <c r="DFW1" s="753"/>
      <c r="DFX1" s="753"/>
      <c r="DFY1" s="753"/>
      <c r="DFZ1" s="753"/>
      <c r="DGA1" s="753"/>
      <c r="DGB1" s="753"/>
      <c r="DGC1" s="753"/>
      <c r="DGD1" s="753"/>
      <c r="DGE1" s="753"/>
      <c r="DGF1" s="753"/>
      <c r="DGG1" s="753"/>
      <c r="DGH1" s="753"/>
      <c r="DGI1" s="753"/>
      <c r="DGJ1" s="753"/>
      <c r="DGK1" s="753"/>
      <c r="DGL1" s="753"/>
      <c r="DGM1" s="753"/>
      <c r="DGN1" s="753"/>
      <c r="DGO1" s="753"/>
      <c r="DGP1" s="753"/>
      <c r="DGQ1" s="753"/>
      <c r="DGR1" s="753"/>
      <c r="DGS1" s="753"/>
      <c r="DGT1" s="753"/>
      <c r="DGU1" s="753"/>
      <c r="DGV1" s="753"/>
      <c r="DGW1" s="753"/>
      <c r="DGX1" s="753"/>
      <c r="DGY1" s="753"/>
      <c r="DGZ1" s="753"/>
      <c r="DHA1" s="753"/>
      <c r="DHB1" s="753"/>
      <c r="DHC1" s="753"/>
      <c r="DHD1" s="753"/>
      <c r="DHE1" s="753"/>
      <c r="DHF1" s="753"/>
      <c r="DHG1" s="753"/>
      <c r="DHH1" s="753"/>
      <c r="DHI1" s="753"/>
      <c r="DHJ1" s="753"/>
      <c r="DHK1" s="753"/>
      <c r="DHL1" s="753"/>
      <c r="DHM1" s="753"/>
      <c r="DHN1" s="753"/>
      <c r="DHO1" s="753"/>
      <c r="DHP1" s="753"/>
      <c r="DHQ1" s="753"/>
      <c r="DHR1" s="753"/>
      <c r="DHS1" s="753"/>
      <c r="DHT1" s="753"/>
      <c r="DHU1" s="753"/>
      <c r="DHV1" s="753"/>
      <c r="DHW1" s="753"/>
      <c r="DHX1" s="753"/>
      <c r="DHY1" s="753"/>
      <c r="DHZ1" s="753"/>
      <c r="DIA1" s="753"/>
      <c r="DIB1" s="753"/>
      <c r="DIC1" s="753"/>
      <c r="DID1" s="753"/>
      <c r="DIE1" s="753"/>
      <c r="DIF1" s="753"/>
      <c r="DIG1" s="753"/>
      <c r="DIH1" s="753"/>
      <c r="DII1" s="753"/>
      <c r="DIJ1" s="753"/>
      <c r="DIK1" s="753"/>
      <c r="DIL1" s="753"/>
      <c r="DIM1" s="753"/>
      <c r="DIN1" s="753"/>
      <c r="DIO1" s="753"/>
      <c r="DIP1" s="753"/>
      <c r="DIQ1" s="753"/>
      <c r="DIR1" s="753"/>
      <c r="DIS1" s="753"/>
      <c r="DIT1" s="753"/>
      <c r="DIU1" s="753"/>
      <c r="DIV1" s="753"/>
      <c r="DIW1" s="753"/>
      <c r="DIX1" s="753"/>
      <c r="DIY1" s="753"/>
      <c r="DIZ1" s="753"/>
      <c r="DJA1" s="753"/>
      <c r="DJB1" s="753"/>
      <c r="DJC1" s="753"/>
      <c r="DJD1" s="753"/>
      <c r="DJE1" s="753"/>
      <c r="DJF1" s="753"/>
      <c r="DJG1" s="753"/>
      <c r="DJH1" s="753"/>
      <c r="DJI1" s="753"/>
      <c r="DJJ1" s="753"/>
      <c r="DJK1" s="753"/>
      <c r="DJL1" s="753"/>
      <c r="DJM1" s="753"/>
      <c r="DJN1" s="753"/>
      <c r="DJO1" s="753"/>
      <c r="DJP1" s="753"/>
      <c r="DJQ1" s="753"/>
      <c r="DJR1" s="753"/>
      <c r="DJS1" s="753"/>
      <c r="DJT1" s="753"/>
      <c r="DJU1" s="753"/>
      <c r="DJV1" s="753"/>
      <c r="DJW1" s="753"/>
      <c r="DJX1" s="753"/>
      <c r="DJY1" s="753"/>
      <c r="DJZ1" s="753"/>
      <c r="DKA1" s="753"/>
      <c r="DKB1" s="753"/>
      <c r="DKC1" s="753"/>
      <c r="DKD1" s="753"/>
      <c r="DKE1" s="753"/>
      <c r="DKF1" s="753"/>
      <c r="DKG1" s="753"/>
      <c r="DKH1" s="753"/>
      <c r="DKI1" s="753"/>
      <c r="DKJ1" s="753"/>
      <c r="DKK1" s="753"/>
      <c r="DKL1" s="753"/>
      <c r="DKM1" s="753"/>
      <c r="DKN1" s="753"/>
      <c r="DKO1" s="753"/>
      <c r="DKP1" s="753"/>
      <c r="DKQ1" s="753"/>
      <c r="DKR1" s="753"/>
      <c r="DKS1" s="753"/>
      <c r="DKT1" s="753"/>
      <c r="DKU1" s="753"/>
      <c r="DKV1" s="753"/>
      <c r="DKW1" s="753"/>
      <c r="DKX1" s="753"/>
      <c r="DKY1" s="753"/>
      <c r="DKZ1" s="753"/>
      <c r="DLA1" s="753"/>
      <c r="DLB1" s="753"/>
      <c r="DLC1" s="753"/>
      <c r="DLD1" s="753"/>
      <c r="DLE1" s="753"/>
      <c r="DLF1" s="753"/>
      <c r="DLG1" s="753"/>
      <c r="DLH1" s="753"/>
      <c r="DLI1" s="753"/>
      <c r="DLJ1" s="753"/>
      <c r="DLK1" s="753"/>
      <c r="DLL1" s="753"/>
      <c r="DLM1" s="753"/>
      <c r="DLN1" s="753"/>
      <c r="DLO1" s="753"/>
      <c r="DLP1" s="753"/>
      <c r="DLQ1" s="753"/>
      <c r="DLR1" s="753"/>
      <c r="DLS1" s="753"/>
      <c r="DLT1" s="753"/>
      <c r="DLU1" s="753"/>
      <c r="DLV1" s="753"/>
      <c r="DLW1" s="753"/>
      <c r="DLX1" s="753"/>
      <c r="DLY1" s="753"/>
      <c r="DLZ1" s="753"/>
      <c r="DMA1" s="753"/>
      <c r="DMB1" s="753"/>
      <c r="DMC1" s="753"/>
      <c r="DMD1" s="753"/>
      <c r="DME1" s="753"/>
      <c r="DMF1" s="753"/>
      <c r="DMG1" s="753"/>
      <c r="DMH1" s="753"/>
      <c r="DMI1" s="753"/>
      <c r="DMJ1" s="753"/>
      <c r="DMK1" s="753"/>
      <c r="DML1" s="753"/>
      <c r="DMM1" s="753"/>
      <c r="DMN1" s="753"/>
      <c r="DMO1" s="753"/>
      <c r="DMP1" s="753"/>
      <c r="DMQ1" s="753"/>
      <c r="DMR1" s="753"/>
      <c r="DMS1" s="753"/>
      <c r="DMT1" s="753"/>
      <c r="DMU1" s="753"/>
      <c r="DMV1" s="753"/>
      <c r="DMW1" s="753"/>
      <c r="DMX1" s="753"/>
      <c r="DMY1" s="753"/>
      <c r="DMZ1" s="753"/>
      <c r="DNA1" s="753"/>
      <c r="DNB1" s="753"/>
      <c r="DNC1" s="753"/>
      <c r="DND1" s="753"/>
      <c r="DNE1" s="753"/>
      <c r="DNF1" s="753"/>
      <c r="DNG1" s="753"/>
      <c r="DNH1" s="753"/>
      <c r="DNI1" s="753"/>
      <c r="DNJ1" s="753"/>
      <c r="DNK1" s="753"/>
      <c r="DNL1" s="753"/>
      <c r="DNM1" s="753"/>
      <c r="DNN1" s="753"/>
      <c r="DNO1" s="753"/>
      <c r="DNP1" s="753"/>
      <c r="DNQ1" s="753"/>
      <c r="DNR1" s="753"/>
      <c r="DNS1" s="753"/>
      <c r="DNT1" s="753"/>
      <c r="DNU1" s="753"/>
      <c r="DNV1" s="753"/>
      <c r="DNW1" s="753"/>
      <c r="DNX1" s="753"/>
      <c r="DNY1" s="753"/>
      <c r="DNZ1" s="753"/>
      <c r="DOA1" s="753"/>
      <c r="DOB1" s="753"/>
      <c r="DOC1" s="753"/>
      <c r="DOD1" s="753"/>
      <c r="DOE1" s="753"/>
      <c r="DOF1" s="753"/>
      <c r="DOG1" s="753"/>
      <c r="DOH1" s="753"/>
      <c r="DOI1" s="753"/>
      <c r="DOJ1" s="753"/>
      <c r="DOK1" s="753"/>
      <c r="DOL1" s="753"/>
      <c r="DOM1" s="753"/>
      <c r="DON1" s="753"/>
      <c r="DOO1" s="753"/>
      <c r="DOP1" s="753"/>
      <c r="DOQ1" s="753"/>
      <c r="DOR1" s="753"/>
      <c r="DOS1" s="753"/>
      <c r="DOT1" s="753"/>
      <c r="DOU1" s="753"/>
      <c r="DOV1" s="753"/>
      <c r="DOW1" s="753"/>
      <c r="DOX1" s="753"/>
      <c r="DOY1" s="753"/>
      <c r="DOZ1" s="753"/>
      <c r="DPA1" s="753"/>
      <c r="DPB1" s="753"/>
      <c r="DPC1" s="753"/>
      <c r="DPD1" s="753"/>
      <c r="DPE1" s="753"/>
      <c r="DPF1" s="753"/>
      <c r="DPG1" s="753"/>
      <c r="DPH1" s="753"/>
      <c r="DPI1" s="753"/>
      <c r="DPJ1" s="753"/>
      <c r="DPK1" s="753"/>
      <c r="DPL1" s="753"/>
      <c r="DPM1" s="753"/>
      <c r="DPN1" s="753"/>
      <c r="DPO1" s="753"/>
      <c r="DPP1" s="753"/>
      <c r="DPQ1" s="753"/>
      <c r="DPR1" s="753"/>
      <c r="DPS1" s="753"/>
      <c r="DPT1" s="753"/>
      <c r="DPU1" s="753"/>
      <c r="DPV1" s="753"/>
      <c r="DPW1" s="753"/>
      <c r="DPX1" s="753"/>
      <c r="DPY1" s="753"/>
      <c r="DPZ1" s="753"/>
      <c r="DQA1" s="753"/>
      <c r="DQB1" s="753"/>
      <c r="DQC1" s="753"/>
      <c r="DQD1" s="753"/>
      <c r="DQE1" s="753"/>
      <c r="DQF1" s="753"/>
      <c r="DQG1" s="753"/>
      <c r="DQH1" s="753"/>
      <c r="DQI1" s="753"/>
      <c r="DQJ1" s="753"/>
      <c r="DQK1" s="753"/>
      <c r="DQL1" s="753"/>
      <c r="DQM1" s="753"/>
      <c r="DQN1" s="753"/>
      <c r="DQO1" s="753"/>
      <c r="DQP1" s="753"/>
      <c r="DQQ1" s="753"/>
      <c r="DQR1" s="753"/>
      <c r="DQS1" s="753"/>
      <c r="DQT1" s="753"/>
      <c r="DQU1" s="753"/>
      <c r="DQV1" s="753"/>
      <c r="DQW1" s="753"/>
      <c r="DQX1" s="753"/>
      <c r="DQY1" s="753"/>
      <c r="DQZ1" s="753"/>
      <c r="DRA1" s="753"/>
      <c r="DRB1" s="753"/>
      <c r="DRC1" s="753"/>
      <c r="DRD1" s="753"/>
      <c r="DRE1" s="753"/>
      <c r="DRF1" s="753"/>
      <c r="DRG1" s="753"/>
      <c r="DRH1" s="753"/>
      <c r="DRI1" s="753"/>
      <c r="DRJ1" s="753"/>
      <c r="DRK1" s="753"/>
      <c r="DRL1" s="753"/>
      <c r="DRM1" s="753"/>
      <c r="DRN1" s="753"/>
      <c r="DRO1" s="753"/>
      <c r="DRP1" s="753"/>
      <c r="DRQ1" s="753"/>
      <c r="DRR1" s="753"/>
      <c r="DRS1" s="753"/>
      <c r="DRT1" s="753"/>
      <c r="DRU1" s="753"/>
      <c r="DRV1" s="753"/>
      <c r="DRW1" s="753"/>
      <c r="DRX1" s="753"/>
      <c r="DRY1" s="753"/>
      <c r="DRZ1" s="753"/>
      <c r="DSA1" s="753"/>
      <c r="DSB1" s="753"/>
      <c r="DSC1" s="753"/>
      <c r="DSD1" s="753"/>
      <c r="DSE1" s="753"/>
      <c r="DSF1" s="753"/>
      <c r="DSG1" s="753"/>
      <c r="DSH1" s="753"/>
      <c r="DSI1" s="753"/>
      <c r="DSJ1" s="753"/>
      <c r="DSK1" s="753"/>
      <c r="DSL1" s="753"/>
      <c r="DSM1" s="753"/>
      <c r="DSN1" s="753"/>
      <c r="DSO1" s="753"/>
      <c r="DSP1" s="753"/>
      <c r="DSQ1" s="753"/>
      <c r="DSR1" s="753"/>
      <c r="DSS1" s="753"/>
      <c r="DST1" s="753"/>
      <c r="DSU1" s="753"/>
      <c r="DSV1" s="753"/>
      <c r="DSW1" s="753"/>
      <c r="DSX1" s="753"/>
      <c r="DSY1" s="753"/>
      <c r="DSZ1" s="753"/>
      <c r="DTA1" s="753"/>
      <c r="DTB1" s="753"/>
      <c r="DTC1" s="753"/>
      <c r="DTD1" s="753"/>
      <c r="DTE1" s="753"/>
      <c r="DTF1" s="753"/>
      <c r="DTG1" s="753"/>
      <c r="DTH1" s="753"/>
      <c r="DTI1" s="753"/>
      <c r="DTJ1" s="753"/>
      <c r="DTK1" s="753"/>
      <c r="DTL1" s="753"/>
      <c r="DTM1" s="753"/>
      <c r="DTN1" s="753"/>
      <c r="DTO1" s="753"/>
      <c r="DTP1" s="753"/>
      <c r="DTQ1" s="753"/>
      <c r="DTR1" s="753"/>
      <c r="DTS1" s="753"/>
      <c r="DTT1" s="753"/>
      <c r="DTU1" s="753"/>
      <c r="DTV1" s="753"/>
      <c r="DTW1" s="753"/>
      <c r="DTX1" s="753"/>
      <c r="DTY1" s="753"/>
      <c r="DTZ1" s="753"/>
      <c r="DUA1" s="753"/>
      <c r="DUB1" s="753"/>
      <c r="DUC1" s="753"/>
      <c r="DUD1" s="753"/>
      <c r="DUE1" s="753"/>
      <c r="DUF1" s="753"/>
      <c r="DUG1" s="753"/>
      <c r="DUH1" s="753"/>
      <c r="DUI1" s="753"/>
      <c r="DUJ1" s="753"/>
      <c r="DUK1" s="753"/>
      <c r="DUL1" s="753"/>
      <c r="DUM1" s="753"/>
      <c r="DUN1" s="753"/>
      <c r="DUO1" s="753"/>
      <c r="DUP1" s="753"/>
      <c r="DUQ1" s="753"/>
      <c r="DUR1" s="753"/>
      <c r="DUS1" s="753"/>
      <c r="DUT1" s="753"/>
      <c r="DUU1" s="753"/>
      <c r="DUV1" s="753"/>
      <c r="DUW1" s="753"/>
      <c r="DUX1" s="753"/>
      <c r="DUY1" s="753"/>
      <c r="DUZ1" s="753"/>
      <c r="DVA1" s="753"/>
      <c r="DVB1" s="753"/>
      <c r="DVC1" s="753"/>
      <c r="DVD1" s="753"/>
      <c r="DVE1" s="753"/>
      <c r="DVF1" s="753"/>
      <c r="DVG1" s="753"/>
      <c r="DVH1" s="753"/>
      <c r="DVI1" s="753"/>
      <c r="DVJ1" s="753"/>
      <c r="DVK1" s="753"/>
      <c r="DVL1" s="753"/>
      <c r="DVM1" s="753"/>
      <c r="DVN1" s="753"/>
      <c r="DVO1" s="753"/>
      <c r="DVP1" s="753"/>
      <c r="DVQ1" s="753"/>
      <c r="DVR1" s="753"/>
      <c r="DVS1" s="753"/>
      <c r="DVT1" s="753"/>
      <c r="DVU1" s="753"/>
      <c r="DVV1" s="753"/>
      <c r="DVW1" s="753"/>
      <c r="DVX1" s="753"/>
      <c r="DVY1" s="753"/>
      <c r="DVZ1" s="753"/>
      <c r="DWA1" s="753"/>
      <c r="DWB1" s="753"/>
      <c r="DWC1" s="753"/>
      <c r="DWD1" s="753"/>
      <c r="DWE1" s="753"/>
      <c r="DWF1" s="753"/>
      <c r="DWG1" s="753"/>
      <c r="DWH1" s="753"/>
      <c r="DWI1" s="753"/>
      <c r="DWJ1" s="753"/>
      <c r="DWK1" s="753"/>
      <c r="DWL1" s="753"/>
      <c r="DWM1" s="753"/>
      <c r="DWN1" s="753"/>
      <c r="DWO1" s="753"/>
      <c r="DWP1" s="753"/>
      <c r="DWQ1" s="753"/>
      <c r="DWR1" s="753"/>
      <c r="DWS1" s="753"/>
      <c r="DWT1" s="753"/>
      <c r="DWU1" s="753"/>
      <c r="DWV1" s="753"/>
      <c r="DWW1" s="753"/>
      <c r="DWX1" s="753"/>
      <c r="DWY1" s="753"/>
      <c r="DWZ1" s="753"/>
      <c r="DXA1" s="753"/>
      <c r="DXB1" s="753"/>
      <c r="DXC1" s="753"/>
      <c r="DXD1" s="753"/>
      <c r="DXE1" s="753"/>
      <c r="DXF1" s="753"/>
      <c r="DXG1" s="753"/>
      <c r="DXH1" s="753"/>
      <c r="DXI1" s="753"/>
      <c r="DXJ1" s="753"/>
      <c r="DXK1" s="753"/>
      <c r="DXL1" s="753"/>
      <c r="DXM1" s="753"/>
      <c r="DXN1" s="753"/>
      <c r="DXO1" s="753"/>
      <c r="DXP1" s="753"/>
      <c r="DXQ1" s="753"/>
      <c r="DXR1" s="753"/>
      <c r="DXS1" s="753"/>
      <c r="DXT1" s="753"/>
      <c r="DXU1" s="753"/>
      <c r="DXV1" s="753"/>
      <c r="DXW1" s="753"/>
      <c r="DXX1" s="753"/>
      <c r="DXY1" s="753"/>
      <c r="DXZ1" s="753"/>
      <c r="DYA1" s="753"/>
      <c r="DYB1" s="753"/>
      <c r="DYC1" s="753"/>
      <c r="DYD1" s="753"/>
      <c r="DYE1" s="753"/>
      <c r="DYF1" s="753"/>
      <c r="DYG1" s="753"/>
      <c r="DYH1" s="753"/>
      <c r="DYI1" s="753"/>
      <c r="DYJ1" s="753"/>
      <c r="DYK1" s="753"/>
      <c r="DYL1" s="753"/>
      <c r="DYM1" s="753"/>
      <c r="DYN1" s="753"/>
      <c r="DYO1" s="753"/>
      <c r="DYP1" s="753"/>
      <c r="DYQ1" s="753"/>
      <c r="DYR1" s="753"/>
      <c r="DYS1" s="753"/>
      <c r="DYT1" s="753"/>
      <c r="DYU1" s="753"/>
      <c r="DYV1" s="753"/>
      <c r="DYW1" s="753"/>
      <c r="DYX1" s="753"/>
      <c r="DYY1" s="753"/>
      <c r="DYZ1" s="753"/>
      <c r="DZA1" s="753"/>
      <c r="DZB1" s="753"/>
      <c r="DZC1" s="753"/>
      <c r="DZD1" s="753"/>
      <c r="DZE1" s="753"/>
      <c r="DZF1" s="753"/>
      <c r="DZG1" s="753"/>
      <c r="DZH1" s="753"/>
      <c r="DZI1" s="753"/>
      <c r="DZJ1" s="753"/>
      <c r="DZK1" s="753"/>
      <c r="DZL1" s="753"/>
      <c r="DZM1" s="753"/>
      <c r="DZN1" s="753"/>
      <c r="DZO1" s="753"/>
      <c r="DZP1" s="753"/>
      <c r="DZQ1" s="753"/>
      <c r="DZR1" s="753"/>
      <c r="DZS1" s="753"/>
      <c r="DZT1" s="753"/>
      <c r="DZU1" s="753"/>
      <c r="DZV1" s="753"/>
      <c r="DZW1" s="753"/>
      <c r="DZX1" s="753"/>
      <c r="DZY1" s="753"/>
      <c r="DZZ1" s="753"/>
      <c r="EAA1" s="753"/>
      <c r="EAB1" s="753"/>
      <c r="EAC1" s="753"/>
      <c r="EAD1" s="753"/>
      <c r="EAE1" s="753"/>
      <c r="EAF1" s="753"/>
      <c r="EAG1" s="753"/>
      <c r="EAH1" s="753"/>
      <c r="EAI1" s="753"/>
      <c r="EAJ1" s="753"/>
      <c r="EAK1" s="753"/>
      <c r="EAL1" s="753"/>
      <c r="EAM1" s="753"/>
      <c r="EAN1" s="753"/>
      <c r="EAO1" s="753"/>
      <c r="EAP1" s="753"/>
      <c r="EAQ1" s="753"/>
      <c r="EAR1" s="753"/>
      <c r="EAS1" s="753"/>
      <c r="EAT1" s="753"/>
      <c r="EAU1" s="753"/>
      <c r="EAV1" s="753"/>
      <c r="EAW1" s="753"/>
      <c r="EAX1" s="753"/>
      <c r="EAY1" s="753"/>
      <c r="EAZ1" s="753"/>
      <c r="EBA1" s="753"/>
      <c r="EBB1" s="753"/>
      <c r="EBC1" s="753"/>
      <c r="EBD1" s="753"/>
      <c r="EBE1" s="753"/>
      <c r="EBF1" s="753"/>
      <c r="EBG1" s="753"/>
      <c r="EBH1" s="753"/>
      <c r="EBI1" s="753"/>
      <c r="EBJ1" s="753"/>
      <c r="EBK1" s="753"/>
      <c r="EBL1" s="753"/>
      <c r="EBM1" s="753"/>
      <c r="EBN1" s="753"/>
      <c r="EBO1" s="753"/>
      <c r="EBP1" s="753"/>
      <c r="EBQ1" s="753"/>
      <c r="EBR1" s="753"/>
      <c r="EBS1" s="753"/>
      <c r="EBT1" s="753"/>
      <c r="EBU1" s="753"/>
      <c r="EBV1" s="753"/>
      <c r="EBW1" s="753"/>
      <c r="EBX1" s="753"/>
      <c r="EBY1" s="753"/>
      <c r="EBZ1" s="753"/>
      <c r="ECA1" s="753"/>
      <c r="ECB1" s="753"/>
      <c r="ECC1" s="753"/>
      <c r="ECD1" s="753"/>
      <c r="ECE1" s="753"/>
      <c r="ECF1" s="753"/>
      <c r="ECG1" s="753"/>
      <c r="ECH1" s="753"/>
      <c r="ECI1" s="753"/>
      <c r="ECJ1" s="753"/>
      <c r="ECK1" s="753"/>
      <c r="ECL1" s="753"/>
      <c r="ECM1" s="753"/>
      <c r="ECN1" s="753"/>
      <c r="ECO1" s="753"/>
      <c r="ECP1" s="753"/>
      <c r="ECQ1" s="753"/>
      <c r="ECR1" s="753"/>
      <c r="ECS1" s="753"/>
      <c r="ECT1" s="753"/>
      <c r="ECU1" s="753"/>
      <c r="ECV1" s="753"/>
      <c r="ECW1" s="753"/>
      <c r="ECX1" s="753"/>
      <c r="ECY1" s="753"/>
      <c r="ECZ1" s="753"/>
      <c r="EDA1" s="753"/>
      <c r="EDB1" s="753"/>
      <c r="EDC1" s="753"/>
      <c r="EDD1" s="753"/>
      <c r="EDE1" s="753"/>
      <c r="EDF1" s="753"/>
      <c r="EDG1" s="753"/>
      <c r="EDH1" s="753"/>
      <c r="EDI1" s="753"/>
      <c r="EDJ1" s="753"/>
      <c r="EDK1" s="753"/>
      <c r="EDL1" s="753"/>
      <c r="EDM1" s="753"/>
      <c r="EDN1" s="753"/>
      <c r="EDO1" s="753"/>
      <c r="EDP1" s="753"/>
      <c r="EDQ1" s="753"/>
      <c r="EDR1" s="753"/>
      <c r="EDS1" s="753"/>
      <c r="EDT1" s="753"/>
      <c r="EDU1" s="753"/>
      <c r="EDV1" s="753"/>
      <c r="EDW1" s="753"/>
      <c r="EDX1" s="753"/>
      <c r="EDY1" s="753"/>
      <c r="EDZ1" s="753"/>
      <c r="EEA1" s="753"/>
      <c r="EEB1" s="753"/>
      <c r="EEC1" s="753"/>
      <c r="EED1" s="753"/>
      <c r="EEE1" s="753"/>
      <c r="EEF1" s="753"/>
      <c r="EEG1" s="753"/>
      <c r="EEH1" s="753"/>
      <c r="EEI1" s="753"/>
      <c r="EEJ1" s="753"/>
      <c r="EEK1" s="753"/>
      <c r="EEL1" s="753"/>
      <c r="EEM1" s="753"/>
      <c r="EEN1" s="753"/>
      <c r="EEO1" s="753"/>
      <c r="EEP1" s="753"/>
      <c r="EEQ1" s="753"/>
      <c r="EER1" s="753"/>
      <c r="EES1" s="753"/>
      <c r="EET1" s="753"/>
      <c r="EEU1" s="753"/>
      <c r="EEV1" s="753"/>
      <c r="EEW1" s="753"/>
      <c r="EEX1" s="753"/>
      <c r="EEY1" s="753"/>
      <c r="EEZ1" s="753"/>
      <c r="EFA1" s="753"/>
      <c r="EFB1" s="753"/>
      <c r="EFC1" s="753"/>
      <c r="EFD1" s="753"/>
      <c r="EFE1" s="753"/>
      <c r="EFF1" s="753"/>
      <c r="EFG1" s="753"/>
      <c r="EFH1" s="753"/>
      <c r="EFI1" s="753"/>
      <c r="EFJ1" s="753"/>
      <c r="EFK1" s="753"/>
      <c r="EFL1" s="753"/>
      <c r="EFM1" s="753"/>
      <c r="EFN1" s="753"/>
      <c r="EFO1" s="753"/>
      <c r="EFP1" s="753"/>
      <c r="EFQ1" s="753"/>
      <c r="EFR1" s="753"/>
      <c r="EFS1" s="753"/>
      <c r="EFT1" s="753"/>
      <c r="EFU1" s="753"/>
      <c r="EFV1" s="753"/>
      <c r="EFW1" s="753"/>
      <c r="EFX1" s="753"/>
      <c r="EFY1" s="753"/>
      <c r="EFZ1" s="753"/>
      <c r="EGA1" s="753"/>
      <c r="EGB1" s="753"/>
      <c r="EGC1" s="753"/>
      <c r="EGD1" s="753"/>
      <c r="EGE1" s="753"/>
      <c r="EGF1" s="753"/>
      <c r="EGG1" s="753"/>
      <c r="EGH1" s="753"/>
      <c r="EGI1" s="753"/>
      <c r="EGJ1" s="753"/>
      <c r="EGK1" s="753"/>
      <c r="EGL1" s="753"/>
      <c r="EGM1" s="753"/>
      <c r="EGN1" s="753"/>
      <c r="EGO1" s="753"/>
      <c r="EGP1" s="753"/>
      <c r="EGQ1" s="753"/>
      <c r="EGR1" s="753"/>
      <c r="EGS1" s="753"/>
      <c r="EGT1" s="753"/>
      <c r="EGU1" s="753"/>
      <c r="EGV1" s="753"/>
      <c r="EGW1" s="753"/>
      <c r="EGX1" s="753"/>
      <c r="EGY1" s="753"/>
      <c r="EGZ1" s="753"/>
      <c r="EHA1" s="753"/>
      <c r="EHB1" s="753"/>
      <c r="EHC1" s="753"/>
      <c r="EHD1" s="753"/>
      <c r="EHE1" s="753"/>
      <c r="EHF1" s="753"/>
      <c r="EHG1" s="753"/>
      <c r="EHH1" s="753"/>
      <c r="EHI1" s="753"/>
      <c r="EHJ1" s="753"/>
      <c r="EHK1" s="753"/>
      <c r="EHL1" s="753"/>
      <c r="EHM1" s="753"/>
      <c r="EHN1" s="753"/>
      <c r="EHO1" s="753"/>
      <c r="EHP1" s="753"/>
      <c r="EHQ1" s="753"/>
      <c r="EHR1" s="753"/>
      <c r="EHS1" s="753"/>
      <c r="EHT1" s="753"/>
      <c r="EHU1" s="753"/>
      <c r="EHV1" s="753"/>
      <c r="EHW1" s="753"/>
      <c r="EHX1" s="753"/>
      <c r="EHY1" s="753"/>
      <c r="EHZ1" s="753"/>
      <c r="EIA1" s="753"/>
      <c r="EIB1" s="753"/>
      <c r="EIC1" s="753"/>
      <c r="EID1" s="753"/>
      <c r="EIE1" s="753"/>
      <c r="EIF1" s="753"/>
      <c r="EIG1" s="753"/>
      <c r="EIH1" s="753"/>
      <c r="EII1" s="753"/>
      <c r="EIJ1" s="753"/>
      <c r="EIK1" s="753"/>
      <c r="EIL1" s="753"/>
      <c r="EIM1" s="753"/>
      <c r="EIN1" s="753"/>
      <c r="EIO1" s="753"/>
      <c r="EIP1" s="753"/>
      <c r="EIQ1" s="753"/>
      <c r="EIR1" s="753"/>
      <c r="EIS1" s="753"/>
      <c r="EIT1" s="753"/>
      <c r="EIU1" s="753"/>
      <c r="EIV1" s="753"/>
      <c r="EIW1" s="753"/>
      <c r="EIX1" s="753"/>
      <c r="EIY1" s="753"/>
      <c r="EIZ1" s="753"/>
      <c r="EJA1" s="753"/>
      <c r="EJB1" s="753"/>
      <c r="EJC1" s="753"/>
      <c r="EJD1" s="753"/>
      <c r="EJE1" s="753"/>
      <c r="EJF1" s="753"/>
      <c r="EJG1" s="753"/>
      <c r="EJH1" s="753"/>
      <c r="EJI1" s="753"/>
      <c r="EJJ1" s="753"/>
      <c r="EJK1" s="753"/>
      <c r="EJL1" s="753"/>
      <c r="EJM1" s="753"/>
      <c r="EJN1" s="753"/>
      <c r="EJO1" s="753"/>
      <c r="EJP1" s="753"/>
      <c r="EJQ1" s="753"/>
      <c r="EJR1" s="753"/>
      <c r="EJS1" s="753"/>
      <c r="EJT1" s="753"/>
      <c r="EJU1" s="753"/>
      <c r="EJV1" s="753"/>
      <c r="EJW1" s="753"/>
      <c r="EJX1" s="753"/>
      <c r="EJY1" s="753"/>
      <c r="EJZ1" s="753"/>
      <c r="EKA1" s="753"/>
      <c r="EKB1" s="753"/>
      <c r="EKC1" s="753"/>
      <c r="EKD1" s="753"/>
      <c r="EKE1" s="753"/>
      <c r="EKF1" s="753"/>
      <c r="EKG1" s="753"/>
      <c r="EKH1" s="753"/>
      <c r="EKI1" s="753"/>
      <c r="EKJ1" s="753"/>
      <c r="EKK1" s="753"/>
      <c r="EKL1" s="753"/>
      <c r="EKM1" s="753"/>
      <c r="EKN1" s="753"/>
      <c r="EKO1" s="753"/>
      <c r="EKP1" s="753"/>
      <c r="EKQ1" s="753"/>
      <c r="EKR1" s="753"/>
      <c r="EKS1" s="753"/>
      <c r="EKT1" s="753"/>
      <c r="EKU1" s="753"/>
      <c r="EKV1" s="753"/>
      <c r="EKW1" s="753"/>
      <c r="EKX1" s="753"/>
      <c r="EKY1" s="753"/>
      <c r="EKZ1" s="753"/>
      <c r="ELA1" s="753"/>
      <c r="ELB1" s="753"/>
      <c r="ELC1" s="753"/>
      <c r="ELD1" s="753"/>
      <c r="ELE1" s="753"/>
      <c r="ELF1" s="753"/>
      <c r="ELG1" s="753"/>
      <c r="ELH1" s="753"/>
      <c r="ELI1" s="753"/>
      <c r="ELJ1" s="753"/>
      <c r="ELK1" s="753"/>
      <c r="ELL1" s="753"/>
      <c r="ELM1" s="753"/>
      <c r="ELN1" s="753"/>
      <c r="ELO1" s="753"/>
      <c r="ELP1" s="753"/>
      <c r="ELQ1" s="753"/>
      <c r="ELR1" s="753"/>
      <c r="ELS1" s="753"/>
      <c r="ELT1" s="753"/>
      <c r="ELU1" s="753"/>
      <c r="ELV1" s="753"/>
      <c r="ELW1" s="753"/>
      <c r="ELX1" s="753"/>
      <c r="ELY1" s="753"/>
      <c r="ELZ1" s="753"/>
      <c r="EMA1" s="753"/>
      <c r="EMB1" s="753"/>
      <c r="EMC1" s="753"/>
      <c r="EMD1" s="753"/>
      <c r="EME1" s="753"/>
      <c r="EMF1" s="753"/>
      <c r="EMG1" s="753"/>
      <c r="EMH1" s="753"/>
      <c r="EMI1" s="753"/>
      <c r="EMJ1" s="753"/>
      <c r="EMK1" s="753"/>
      <c r="EML1" s="753"/>
      <c r="EMM1" s="753"/>
      <c r="EMN1" s="753"/>
      <c r="EMO1" s="753"/>
      <c r="EMP1" s="753"/>
      <c r="EMQ1" s="753"/>
      <c r="EMR1" s="753"/>
      <c r="EMS1" s="753"/>
      <c r="EMT1" s="753"/>
      <c r="EMU1" s="753"/>
      <c r="EMV1" s="753"/>
      <c r="EMW1" s="753"/>
      <c r="EMX1" s="753"/>
      <c r="EMY1" s="753"/>
      <c r="EMZ1" s="753"/>
      <c r="ENA1" s="753"/>
      <c r="ENB1" s="753"/>
      <c r="ENC1" s="753"/>
      <c r="END1" s="753"/>
      <c r="ENE1" s="753"/>
      <c r="ENF1" s="753"/>
      <c r="ENG1" s="753"/>
      <c r="ENH1" s="753"/>
      <c r="ENI1" s="753"/>
      <c r="ENJ1" s="753"/>
      <c r="ENK1" s="753"/>
      <c r="ENL1" s="753"/>
      <c r="ENM1" s="753"/>
      <c r="ENN1" s="753"/>
      <c r="ENO1" s="753"/>
      <c r="ENP1" s="753"/>
      <c r="ENQ1" s="753"/>
      <c r="ENR1" s="753"/>
      <c r="ENS1" s="753"/>
      <c r="ENT1" s="753"/>
      <c r="ENU1" s="753"/>
      <c r="ENV1" s="753"/>
      <c r="ENW1" s="753"/>
      <c r="ENX1" s="753"/>
      <c r="ENY1" s="753"/>
      <c r="ENZ1" s="753"/>
      <c r="EOA1" s="753"/>
      <c r="EOB1" s="753"/>
      <c r="EOC1" s="753"/>
      <c r="EOD1" s="753"/>
      <c r="EOE1" s="753"/>
      <c r="EOF1" s="753"/>
      <c r="EOG1" s="753"/>
      <c r="EOH1" s="753"/>
      <c r="EOI1" s="753"/>
      <c r="EOJ1" s="753"/>
      <c r="EOK1" s="753"/>
      <c r="EOL1" s="753"/>
      <c r="EOM1" s="753"/>
      <c r="EON1" s="753"/>
      <c r="EOO1" s="753"/>
      <c r="EOP1" s="753"/>
      <c r="EOQ1" s="753"/>
      <c r="EOR1" s="753"/>
      <c r="EOS1" s="753"/>
      <c r="EOT1" s="753"/>
      <c r="EOU1" s="753"/>
      <c r="EOV1" s="753"/>
      <c r="EOW1" s="753"/>
      <c r="EOX1" s="753"/>
      <c r="EOY1" s="753"/>
      <c r="EOZ1" s="753"/>
      <c r="EPA1" s="753"/>
      <c r="EPB1" s="753"/>
      <c r="EPC1" s="753"/>
      <c r="EPD1" s="753"/>
      <c r="EPE1" s="753"/>
      <c r="EPF1" s="753"/>
      <c r="EPG1" s="753"/>
      <c r="EPH1" s="753"/>
      <c r="EPI1" s="753"/>
      <c r="EPJ1" s="753"/>
      <c r="EPK1" s="753"/>
      <c r="EPL1" s="753"/>
      <c r="EPM1" s="753"/>
      <c r="EPN1" s="753"/>
      <c r="EPO1" s="753"/>
      <c r="EPP1" s="753"/>
      <c r="EPQ1" s="753"/>
      <c r="EPR1" s="753"/>
      <c r="EPS1" s="753"/>
      <c r="EPT1" s="753"/>
      <c r="EPU1" s="753"/>
      <c r="EPV1" s="753"/>
      <c r="EPW1" s="753"/>
      <c r="EPX1" s="753"/>
      <c r="EPY1" s="753"/>
      <c r="EPZ1" s="753"/>
      <c r="EQA1" s="753"/>
      <c r="EQB1" s="753"/>
      <c r="EQC1" s="753"/>
      <c r="EQD1" s="753"/>
      <c r="EQE1" s="753"/>
      <c r="EQF1" s="753"/>
      <c r="EQG1" s="753"/>
      <c r="EQH1" s="753"/>
      <c r="EQI1" s="753"/>
      <c r="EQJ1" s="753"/>
      <c r="EQK1" s="753"/>
      <c r="EQL1" s="753"/>
      <c r="EQM1" s="753"/>
      <c r="EQN1" s="753"/>
      <c r="EQO1" s="753"/>
      <c r="EQP1" s="753"/>
      <c r="EQQ1" s="753"/>
      <c r="EQR1" s="753"/>
      <c r="EQS1" s="753"/>
      <c r="EQT1" s="753"/>
      <c r="EQU1" s="753"/>
      <c r="EQV1" s="753"/>
      <c r="EQW1" s="753"/>
      <c r="EQX1" s="753"/>
      <c r="EQY1" s="753"/>
      <c r="EQZ1" s="753"/>
      <c r="ERA1" s="753"/>
      <c r="ERB1" s="753"/>
      <c r="ERC1" s="753"/>
      <c r="ERD1" s="753"/>
      <c r="ERE1" s="753"/>
      <c r="ERF1" s="753"/>
      <c r="ERG1" s="753"/>
      <c r="ERH1" s="753"/>
      <c r="ERI1" s="753"/>
      <c r="ERJ1" s="753"/>
      <c r="ERK1" s="753"/>
      <c r="ERL1" s="753"/>
      <c r="ERM1" s="753"/>
      <c r="ERN1" s="753"/>
      <c r="ERO1" s="753"/>
      <c r="ERP1" s="753"/>
      <c r="ERQ1" s="753"/>
      <c r="ERR1" s="753"/>
      <c r="ERS1" s="753"/>
      <c r="ERT1" s="753"/>
      <c r="ERU1" s="753"/>
      <c r="ERV1" s="753"/>
      <c r="ERW1" s="753"/>
      <c r="ERX1" s="753"/>
      <c r="ERY1" s="753"/>
      <c r="ERZ1" s="753"/>
      <c r="ESA1" s="753"/>
      <c r="ESB1" s="753"/>
      <c r="ESC1" s="753"/>
      <c r="ESD1" s="753"/>
      <c r="ESE1" s="753"/>
      <c r="ESF1" s="753"/>
      <c r="ESG1" s="753"/>
      <c r="ESH1" s="753"/>
      <c r="ESI1" s="753"/>
      <c r="ESJ1" s="753"/>
      <c r="ESK1" s="753"/>
      <c r="ESL1" s="753"/>
      <c r="ESM1" s="753"/>
      <c r="ESN1" s="753"/>
      <c r="ESO1" s="753"/>
      <c r="ESP1" s="753"/>
      <c r="ESQ1" s="753"/>
      <c r="ESR1" s="753"/>
      <c r="ESS1" s="753"/>
      <c r="EST1" s="753"/>
      <c r="ESU1" s="753"/>
      <c r="ESV1" s="753"/>
      <c r="ESW1" s="753"/>
      <c r="ESX1" s="753"/>
      <c r="ESY1" s="753"/>
      <c r="ESZ1" s="753"/>
      <c r="ETA1" s="753"/>
      <c r="ETB1" s="753"/>
      <c r="ETC1" s="753"/>
      <c r="ETD1" s="753"/>
      <c r="ETE1" s="753"/>
      <c r="ETF1" s="753"/>
      <c r="ETG1" s="753"/>
      <c r="ETH1" s="753"/>
      <c r="ETI1" s="753"/>
      <c r="ETJ1" s="753"/>
      <c r="ETK1" s="753"/>
      <c r="ETL1" s="753"/>
      <c r="ETM1" s="753"/>
      <c r="ETN1" s="753"/>
      <c r="ETO1" s="753"/>
      <c r="ETP1" s="753"/>
      <c r="ETQ1" s="753"/>
      <c r="ETR1" s="753"/>
      <c r="ETS1" s="753"/>
      <c r="ETT1" s="753"/>
      <c r="ETU1" s="753"/>
      <c r="ETV1" s="753"/>
      <c r="ETW1" s="753"/>
      <c r="ETX1" s="753"/>
      <c r="ETY1" s="753"/>
      <c r="ETZ1" s="753"/>
      <c r="EUA1" s="753"/>
      <c r="EUB1" s="753"/>
      <c r="EUC1" s="753"/>
      <c r="EUD1" s="753"/>
      <c r="EUE1" s="753"/>
      <c r="EUF1" s="753"/>
      <c r="EUG1" s="753"/>
      <c r="EUH1" s="753"/>
      <c r="EUI1" s="753"/>
      <c r="EUJ1" s="753"/>
      <c r="EUK1" s="753"/>
      <c r="EUL1" s="753"/>
      <c r="EUM1" s="753"/>
      <c r="EUN1" s="753"/>
      <c r="EUO1" s="753"/>
      <c r="EUP1" s="753"/>
      <c r="EUQ1" s="753"/>
      <c r="EUR1" s="753"/>
      <c r="EUS1" s="753"/>
      <c r="EUT1" s="753"/>
      <c r="EUU1" s="753"/>
      <c r="EUV1" s="753"/>
      <c r="EUW1" s="753"/>
      <c r="EUX1" s="753"/>
      <c r="EUY1" s="753"/>
      <c r="EUZ1" s="753"/>
      <c r="EVA1" s="753"/>
      <c r="EVB1" s="753"/>
      <c r="EVC1" s="753"/>
      <c r="EVD1" s="753"/>
      <c r="EVE1" s="753"/>
      <c r="EVF1" s="753"/>
      <c r="EVG1" s="753"/>
      <c r="EVH1" s="753"/>
      <c r="EVI1" s="753"/>
      <c r="EVJ1" s="753"/>
      <c r="EVK1" s="753"/>
      <c r="EVL1" s="753"/>
      <c r="EVM1" s="753"/>
      <c r="EVN1" s="753"/>
      <c r="EVO1" s="753"/>
      <c r="EVP1" s="753"/>
      <c r="EVQ1" s="753"/>
      <c r="EVR1" s="753"/>
      <c r="EVS1" s="753"/>
      <c r="EVT1" s="753"/>
      <c r="EVU1" s="753"/>
      <c r="EVV1" s="753"/>
      <c r="EVW1" s="753"/>
      <c r="EVX1" s="753"/>
      <c r="EVY1" s="753"/>
      <c r="EVZ1" s="753"/>
      <c r="EWA1" s="753"/>
      <c r="EWB1" s="753"/>
      <c r="EWC1" s="753"/>
      <c r="EWD1" s="753"/>
      <c r="EWE1" s="753"/>
      <c r="EWF1" s="753"/>
      <c r="EWG1" s="753"/>
      <c r="EWH1" s="753"/>
      <c r="EWI1" s="753"/>
      <c r="EWJ1" s="753"/>
      <c r="EWK1" s="753"/>
      <c r="EWL1" s="753"/>
      <c r="EWM1" s="753"/>
      <c r="EWN1" s="753"/>
      <c r="EWO1" s="753"/>
      <c r="EWP1" s="753"/>
      <c r="EWQ1" s="753"/>
      <c r="EWR1" s="753"/>
      <c r="EWS1" s="753"/>
      <c r="EWT1" s="753"/>
      <c r="EWU1" s="753"/>
      <c r="EWV1" s="753"/>
      <c r="EWW1" s="753"/>
      <c r="EWX1" s="753"/>
      <c r="EWY1" s="753"/>
      <c r="EWZ1" s="753"/>
      <c r="EXA1" s="753"/>
      <c r="EXB1" s="753"/>
      <c r="EXC1" s="753"/>
      <c r="EXD1" s="753"/>
      <c r="EXE1" s="753"/>
      <c r="EXF1" s="753"/>
      <c r="EXG1" s="753"/>
      <c r="EXH1" s="753"/>
      <c r="EXI1" s="753"/>
      <c r="EXJ1" s="753"/>
      <c r="EXK1" s="753"/>
      <c r="EXL1" s="753"/>
      <c r="EXM1" s="753"/>
      <c r="EXN1" s="753"/>
      <c r="EXO1" s="753"/>
      <c r="EXP1" s="753"/>
      <c r="EXQ1" s="753"/>
      <c r="EXR1" s="753"/>
      <c r="EXS1" s="753"/>
      <c r="EXT1" s="753"/>
      <c r="EXU1" s="753"/>
      <c r="EXV1" s="753"/>
      <c r="EXW1" s="753"/>
      <c r="EXX1" s="753"/>
      <c r="EXY1" s="753"/>
      <c r="EXZ1" s="753"/>
      <c r="EYA1" s="753"/>
      <c r="EYB1" s="753"/>
      <c r="EYC1" s="753"/>
      <c r="EYD1" s="753"/>
      <c r="EYE1" s="753"/>
      <c r="EYF1" s="753"/>
      <c r="EYG1" s="753"/>
      <c r="EYH1" s="753"/>
      <c r="EYI1" s="753"/>
      <c r="EYJ1" s="753"/>
      <c r="EYK1" s="753"/>
      <c r="EYL1" s="753"/>
      <c r="EYM1" s="753"/>
      <c r="EYN1" s="753"/>
      <c r="EYO1" s="753"/>
      <c r="EYP1" s="753"/>
      <c r="EYQ1" s="753"/>
      <c r="EYR1" s="753"/>
      <c r="EYS1" s="753"/>
      <c r="EYT1" s="753"/>
      <c r="EYU1" s="753"/>
      <c r="EYV1" s="753"/>
      <c r="EYW1" s="753"/>
      <c r="EYX1" s="753"/>
      <c r="EYY1" s="753"/>
      <c r="EYZ1" s="753"/>
      <c r="EZA1" s="753"/>
      <c r="EZB1" s="753"/>
      <c r="EZC1" s="753"/>
      <c r="EZD1" s="753"/>
      <c r="EZE1" s="753"/>
      <c r="EZF1" s="753"/>
      <c r="EZG1" s="753"/>
      <c r="EZH1" s="753"/>
      <c r="EZI1" s="753"/>
      <c r="EZJ1" s="753"/>
      <c r="EZK1" s="753"/>
      <c r="EZL1" s="753"/>
      <c r="EZM1" s="753"/>
      <c r="EZN1" s="753"/>
      <c r="EZO1" s="753"/>
      <c r="EZP1" s="753"/>
      <c r="EZQ1" s="753"/>
      <c r="EZR1" s="753"/>
      <c r="EZS1" s="753"/>
      <c r="EZT1" s="753"/>
      <c r="EZU1" s="753"/>
      <c r="EZV1" s="753"/>
      <c r="EZW1" s="753"/>
      <c r="EZX1" s="753"/>
      <c r="EZY1" s="753"/>
      <c r="EZZ1" s="753"/>
      <c r="FAA1" s="753"/>
      <c r="FAB1" s="753"/>
      <c r="FAC1" s="753"/>
      <c r="FAD1" s="753"/>
      <c r="FAE1" s="753"/>
      <c r="FAF1" s="753"/>
      <c r="FAG1" s="753"/>
      <c r="FAH1" s="753"/>
      <c r="FAI1" s="753"/>
      <c r="FAJ1" s="753"/>
      <c r="FAK1" s="753"/>
      <c r="FAL1" s="753"/>
      <c r="FAM1" s="753"/>
      <c r="FAN1" s="753"/>
      <c r="FAO1" s="753"/>
      <c r="FAP1" s="753"/>
      <c r="FAQ1" s="753"/>
      <c r="FAR1" s="753"/>
      <c r="FAS1" s="753"/>
      <c r="FAT1" s="753"/>
      <c r="FAU1" s="753"/>
      <c r="FAV1" s="753"/>
      <c r="FAW1" s="753"/>
      <c r="FAX1" s="753"/>
      <c r="FAY1" s="753"/>
      <c r="FAZ1" s="753"/>
      <c r="FBA1" s="753"/>
      <c r="FBB1" s="753"/>
      <c r="FBC1" s="753"/>
      <c r="FBD1" s="753"/>
      <c r="FBE1" s="753"/>
      <c r="FBF1" s="753"/>
      <c r="FBG1" s="753"/>
      <c r="FBH1" s="753"/>
      <c r="FBI1" s="753"/>
      <c r="FBJ1" s="753"/>
      <c r="FBK1" s="753"/>
      <c r="FBL1" s="753"/>
      <c r="FBM1" s="753"/>
      <c r="FBN1" s="753"/>
      <c r="FBO1" s="753"/>
      <c r="FBP1" s="753"/>
      <c r="FBQ1" s="753"/>
      <c r="FBR1" s="753"/>
      <c r="FBS1" s="753"/>
      <c r="FBT1" s="753"/>
      <c r="FBU1" s="753"/>
      <c r="FBV1" s="753"/>
      <c r="FBW1" s="753"/>
      <c r="FBX1" s="753"/>
      <c r="FBY1" s="753"/>
      <c r="FBZ1" s="753"/>
      <c r="FCA1" s="753"/>
      <c r="FCB1" s="753"/>
      <c r="FCC1" s="753"/>
      <c r="FCD1" s="753"/>
      <c r="FCE1" s="753"/>
      <c r="FCF1" s="753"/>
      <c r="FCG1" s="753"/>
      <c r="FCH1" s="753"/>
      <c r="FCI1" s="753"/>
      <c r="FCJ1" s="753"/>
      <c r="FCK1" s="753"/>
      <c r="FCL1" s="753"/>
      <c r="FCM1" s="753"/>
      <c r="FCN1" s="753"/>
      <c r="FCO1" s="753"/>
      <c r="FCP1" s="753"/>
      <c r="FCQ1" s="753"/>
      <c r="FCR1" s="753"/>
      <c r="FCS1" s="753"/>
      <c r="FCT1" s="753"/>
      <c r="FCU1" s="753"/>
      <c r="FCV1" s="753"/>
      <c r="FCW1" s="753"/>
      <c r="FCX1" s="753"/>
      <c r="FCY1" s="753"/>
      <c r="FCZ1" s="753"/>
      <c r="FDA1" s="753"/>
      <c r="FDB1" s="753"/>
      <c r="FDC1" s="753"/>
      <c r="FDD1" s="753"/>
      <c r="FDE1" s="753"/>
      <c r="FDF1" s="753"/>
      <c r="FDG1" s="753"/>
      <c r="FDH1" s="753"/>
      <c r="FDI1" s="753"/>
      <c r="FDJ1" s="753"/>
      <c r="FDK1" s="753"/>
      <c r="FDL1" s="753"/>
      <c r="FDM1" s="753"/>
      <c r="FDN1" s="753"/>
      <c r="FDO1" s="753"/>
      <c r="FDP1" s="753"/>
      <c r="FDQ1" s="753"/>
      <c r="FDR1" s="753"/>
      <c r="FDS1" s="753"/>
      <c r="FDT1" s="753"/>
      <c r="FDU1" s="753"/>
      <c r="FDV1" s="753"/>
      <c r="FDW1" s="753"/>
      <c r="FDX1" s="753"/>
      <c r="FDY1" s="753"/>
      <c r="FDZ1" s="753"/>
      <c r="FEA1" s="753"/>
      <c r="FEB1" s="753"/>
      <c r="FEC1" s="753"/>
      <c r="FED1" s="753"/>
      <c r="FEE1" s="753"/>
      <c r="FEF1" s="753"/>
      <c r="FEG1" s="753"/>
      <c r="FEH1" s="753"/>
      <c r="FEI1" s="753"/>
      <c r="FEJ1" s="753"/>
      <c r="FEK1" s="753"/>
      <c r="FEL1" s="753"/>
      <c r="FEM1" s="753"/>
      <c r="FEN1" s="753"/>
      <c r="FEO1" s="753"/>
      <c r="FEP1" s="753"/>
      <c r="FEQ1" s="753"/>
      <c r="FER1" s="753"/>
      <c r="FES1" s="753"/>
      <c r="FET1" s="753"/>
      <c r="FEU1" s="753"/>
      <c r="FEV1" s="753"/>
      <c r="FEW1" s="753"/>
      <c r="FEX1" s="753"/>
      <c r="FEY1" s="753"/>
      <c r="FEZ1" s="753"/>
      <c r="FFA1" s="753"/>
      <c r="FFB1" s="753"/>
      <c r="FFC1" s="753"/>
      <c r="FFD1" s="753"/>
      <c r="FFE1" s="753"/>
      <c r="FFF1" s="753"/>
      <c r="FFG1" s="753"/>
      <c r="FFH1" s="753"/>
      <c r="FFI1" s="753"/>
      <c r="FFJ1" s="753"/>
      <c r="FFK1" s="753"/>
      <c r="FFL1" s="753"/>
      <c r="FFM1" s="753"/>
      <c r="FFN1" s="753"/>
      <c r="FFO1" s="753"/>
      <c r="FFP1" s="753"/>
      <c r="FFQ1" s="753"/>
      <c r="FFR1" s="753"/>
      <c r="FFS1" s="753"/>
      <c r="FFT1" s="753"/>
      <c r="FFU1" s="753"/>
      <c r="FFV1" s="753"/>
      <c r="FFW1" s="753"/>
      <c r="FFX1" s="753"/>
      <c r="FFY1" s="753"/>
      <c r="FFZ1" s="753"/>
      <c r="FGA1" s="753"/>
      <c r="FGB1" s="753"/>
      <c r="FGC1" s="753"/>
      <c r="FGD1" s="753"/>
      <c r="FGE1" s="753"/>
      <c r="FGF1" s="753"/>
      <c r="FGG1" s="753"/>
      <c r="FGH1" s="753"/>
      <c r="FGI1" s="753"/>
      <c r="FGJ1" s="753"/>
      <c r="FGK1" s="753"/>
      <c r="FGL1" s="753"/>
      <c r="FGM1" s="753"/>
      <c r="FGN1" s="753"/>
      <c r="FGO1" s="753"/>
      <c r="FGP1" s="753"/>
      <c r="FGQ1" s="753"/>
      <c r="FGR1" s="753"/>
      <c r="FGS1" s="753"/>
      <c r="FGT1" s="753"/>
      <c r="FGU1" s="753"/>
      <c r="FGV1" s="753"/>
      <c r="FGW1" s="753"/>
      <c r="FGX1" s="753"/>
      <c r="FGY1" s="753"/>
      <c r="FGZ1" s="753"/>
      <c r="FHA1" s="753"/>
      <c r="FHB1" s="753"/>
      <c r="FHC1" s="753"/>
      <c r="FHD1" s="753"/>
      <c r="FHE1" s="753"/>
      <c r="FHF1" s="753"/>
      <c r="FHG1" s="753"/>
      <c r="FHH1" s="753"/>
      <c r="FHI1" s="753"/>
      <c r="FHJ1" s="753"/>
      <c r="FHK1" s="753"/>
      <c r="FHL1" s="753"/>
      <c r="FHM1" s="753"/>
      <c r="FHN1" s="753"/>
      <c r="FHO1" s="753"/>
      <c r="FHP1" s="753"/>
      <c r="FHQ1" s="753"/>
      <c r="FHR1" s="753"/>
      <c r="FHS1" s="753"/>
      <c r="FHT1" s="753"/>
      <c r="FHU1" s="753"/>
      <c r="FHV1" s="753"/>
      <c r="FHW1" s="753"/>
      <c r="FHX1" s="753"/>
      <c r="FHY1" s="753"/>
      <c r="FHZ1" s="753"/>
      <c r="FIA1" s="753"/>
      <c r="FIB1" s="753"/>
      <c r="FIC1" s="753"/>
      <c r="FID1" s="753"/>
      <c r="FIE1" s="753"/>
      <c r="FIF1" s="753"/>
      <c r="FIG1" s="753"/>
      <c r="FIH1" s="753"/>
      <c r="FII1" s="753"/>
      <c r="FIJ1" s="753"/>
      <c r="FIK1" s="753"/>
      <c r="FIL1" s="753"/>
      <c r="FIM1" s="753"/>
      <c r="FIN1" s="753"/>
      <c r="FIO1" s="753"/>
      <c r="FIP1" s="753"/>
      <c r="FIQ1" s="753"/>
      <c r="FIR1" s="753"/>
      <c r="FIS1" s="753"/>
      <c r="FIT1" s="753"/>
      <c r="FIU1" s="753"/>
      <c r="FIV1" s="753"/>
      <c r="FIW1" s="753"/>
      <c r="FIX1" s="753"/>
      <c r="FIY1" s="753"/>
      <c r="FIZ1" s="753"/>
      <c r="FJA1" s="753"/>
      <c r="FJB1" s="753"/>
      <c r="FJC1" s="753"/>
      <c r="FJD1" s="753"/>
      <c r="FJE1" s="753"/>
      <c r="FJF1" s="753"/>
      <c r="FJG1" s="753"/>
      <c r="FJH1" s="753"/>
      <c r="FJI1" s="753"/>
      <c r="FJJ1" s="753"/>
      <c r="FJK1" s="753"/>
      <c r="FJL1" s="753"/>
      <c r="FJM1" s="753"/>
      <c r="FJN1" s="753"/>
      <c r="FJO1" s="753"/>
      <c r="FJP1" s="753"/>
      <c r="FJQ1" s="753"/>
      <c r="FJR1" s="753"/>
      <c r="FJS1" s="753"/>
      <c r="FJT1" s="753"/>
      <c r="FJU1" s="753"/>
      <c r="FJV1" s="753"/>
      <c r="FJW1" s="753"/>
      <c r="FJX1" s="753"/>
      <c r="FJY1" s="753"/>
      <c r="FJZ1" s="753"/>
      <c r="FKA1" s="753"/>
      <c r="FKB1" s="753"/>
      <c r="FKC1" s="753"/>
      <c r="FKD1" s="753"/>
      <c r="FKE1" s="753"/>
      <c r="FKF1" s="753"/>
      <c r="FKG1" s="753"/>
      <c r="FKH1" s="753"/>
      <c r="FKI1" s="753"/>
      <c r="FKJ1" s="753"/>
      <c r="FKK1" s="753"/>
      <c r="FKL1" s="753"/>
      <c r="FKM1" s="753"/>
      <c r="FKN1" s="753"/>
      <c r="FKO1" s="753"/>
      <c r="FKP1" s="753"/>
      <c r="FKQ1" s="753"/>
      <c r="FKR1" s="753"/>
      <c r="FKS1" s="753"/>
      <c r="FKT1" s="753"/>
      <c r="FKU1" s="753"/>
      <c r="FKV1" s="753"/>
      <c r="FKW1" s="753"/>
      <c r="FKX1" s="753"/>
      <c r="FKY1" s="753"/>
      <c r="FKZ1" s="753"/>
      <c r="FLA1" s="753"/>
      <c r="FLB1" s="753"/>
      <c r="FLC1" s="753"/>
      <c r="FLD1" s="753"/>
      <c r="FLE1" s="753"/>
      <c r="FLF1" s="753"/>
      <c r="FLG1" s="753"/>
      <c r="FLH1" s="753"/>
      <c r="FLI1" s="753"/>
      <c r="FLJ1" s="753"/>
      <c r="FLK1" s="753"/>
      <c r="FLL1" s="753"/>
      <c r="FLM1" s="753"/>
      <c r="FLN1" s="753"/>
      <c r="FLO1" s="753"/>
      <c r="FLP1" s="753"/>
      <c r="FLQ1" s="753"/>
      <c r="FLR1" s="753"/>
      <c r="FLS1" s="753"/>
      <c r="FLT1" s="753"/>
      <c r="FLU1" s="753"/>
      <c r="FLV1" s="753"/>
      <c r="FLW1" s="753"/>
      <c r="FLX1" s="753"/>
      <c r="FLY1" s="753"/>
      <c r="FLZ1" s="753"/>
      <c r="FMA1" s="753"/>
      <c r="FMB1" s="753"/>
      <c r="FMC1" s="753"/>
      <c r="FMD1" s="753"/>
      <c r="FME1" s="753"/>
      <c r="FMF1" s="753"/>
      <c r="FMG1" s="753"/>
      <c r="FMH1" s="753"/>
      <c r="FMI1" s="753"/>
      <c r="FMJ1" s="753"/>
      <c r="FMK1" s="753"/>
      <c r="FML1" s="753"/>
      <c r="FMM1" s="753"/>
      <c r="FMN1" s="753"/>
      <c r="FMO1" s="753"/>
      <c r="FMP1" s="753"/>
      <c r="FMQ1" s="753"/>
      <c r="FMR1" s="753"/>
      <c r="FMS1" s="753"/>
      <c r="FMT1" s="753"/>
      <c r="FMU1" s="753"/>
      <c r="FMV1" s="753"/>
      <c r="FMW1" s="753"/>
      <c r="FMX1" s="753"/>
      <c r="FMY1" s="753"/>
      <c r="FMZ1" s="753"/>
      <c r="FNA1" s="753"/>
      <c r="FNB1" s="753"/>
      <c r="FNC1" s="753"/>
      <c r="FND1" s="753"/>
      <c r="FNE1" s="753"/>
      <c r="FNF1" s="753"/>
      <c r="FNG1" s="753"/>
      <c r="FNH1" s="753"/>
      <c r="FNI1" s="753"/>
      <c r="FNJ1" s="753"/>
      <c r="FNK1" s="753"/>
      <c r="FNL1" s="753"/>
      <c r="FNM1" s="753"/>
      <c r="FNN1" s="753"/>
      <c r="FNO1" s="753"/>
      <c r="FNP1" s="753"/>
      <c r="FNQ1" s="753"/>
      <c r="FNR1" s="753"/>
      <c r="FNS1" s="753"/>
      <c r="FNT1" s="753"/>
      <c r="FNU1" s="753"/>
      <c r="FNV1" s="753"/>
      <c r="FNW1" s="753"/>
      <c r="FNX1" s="753"/>
      <c r="FNY1" s="753"/>
      <c r="FNZ1" s="753"/>
      <c r="FOA1" s="753"/>
      <c r="FOB1" s="753"/>
      <c r="FOC1" s="753"/>
      <c r="FOD1" s="753"/>
      <c r="FOE1" s="753"/>
      <c r="FOF1" s="753"/>
      <c r="FOG1" s="753"/>
      <c r="FOH1" s="753"/>
      <c r="FOI1" s="753"/>
      <c r="FOJ1" s="753"/>
      <c r="FOK1" s="753"/>
      <c r="FOL1" s="753"/>
      <c r="FOM1" s="753"/>
      <c r="FON1" s="753"/>
      <c r="FOO1" s="753"/>
      <c r="FOP1" s="753"/>
      <c r="FOQ1" s="753"/>
      <c r="FOR1" s="753"/>
      <c r="FOS1" s="753"/>
      <c r="FOT1" s="753"/>
      <c r="FOU1" s="753"/>
      <c r="FOV1" s="753"/>
      <c r="FOW1" s="753"/>
      <c r="FOX1" s="753"/>
      <c r="FOY1" s="753"/>
      <c r="FOZ1" s="753"/>
      <c r="FPA1" s="753"/>
      <c r="FPB1" s="753"/>
      <c r="FPC1" s="753"/>
      <c r="FPD1" s="753"/>
      <c r="FPE1" s="753"/>
      <c r="FPF1" s="753"/>
      <c r="FPG1" s="753"/>
      <c r="FPH1" s="753"/>
      <c r="FPI1" s="753"/>
      <c r="FPJ1" s="753"/>
      <c r="FPK1" s="753"/>
      <c r="FPL1" s="753"/>
      <c r="FPM1" s="753"/>
      <c r="FPN1" s="753"/>
      <c r="FPO1" s="753"/>
      <c r="FPP1" s="753"/>
      <c r="FPQ1" s="753"/>
      <c r="FPR1" s="753"/>
      <c r="FPS1" s="753"/>
      <c r="FPT1" s="753"/>
      <c r="FPU1" s="753"/>
      <c r="FPV1" s="753"/>
      <c r="FPW1" s="753"/>
      <c r="FPX1" s="753"/>
      <c r="FPY1" s="753"/>
      <c r="FPZ1" s="753"/>
      <c r="FQA1" s="753"/>
      <c r="FQB1" s="753"/>
      <c r="FQC1" s="753"/>
      <c r="FQD1" s="753"/>
      <c r="FQE1" s="753"/>
      <c r="FQF1" s="753"/>
      <c r="FQG1" s="753"/>
      <c r="FQH1" s="753"/>
      <c r="FQI1" s="753"/>
      <c r="FQJ1" s="753"/>
      <c r="FQK1" s="753"/>
      <c r="FQL1" s="753"/>
      <c r="FQM1" s="753"/>
      <c r="FQN1" s="753"/>
      <c r="FQO1" s="753"/>
      <c r="FQP1" s="753"/>
      <c r="FQQ1" s="753"/>
      <c r="FQR1" s="753"/>
      <c r="FQS1" s="753"/>
      <c r="FQT1" s="753"/>
      <c r="FQU1" s="753"/>
      <c r="FQV1" s="753"/>
      <c r="FQW1" s="753"/>
      <c r="FQX1" s="753"/>
      <c r="FQY1" s="753"/>
      <c r="FQZ1" s="753"/>
      <c r="FRA1" s="753"/>
      <c r="FRB1" s="753"/>
      <c r="FRC1" s="753"/>
      <c r="FRD1" s="753"/>
      <c r="FRE1" s="753"/>
      <c r="FRF1" s="753"/>
      <c r="FRG1" s="753"/>
      <c r="FRH1" s="753"/>
      <c r="FRI1" s="753"/>
      <c r="FRJ1" s="753"/>
      <c r="FRK1" s="753"/>
      <c r="FRL1" s="753"/>
      <c r="FRM1" s="753"/>
      <c r="FRN1" s="753"/>
      <c r="FRO1" s="753"/>
      <c r="FRP1" s="753"/>
      <c r="FRQ1" s="753"/>
      <c r="FRR1" s="753"/>
      <c r="FRS1" s="753"/>
      <c r="FRT1" s="753"/>
      <c r="FRU1" s="753"/>
      <c r="FRV1" s="753"/>
      <c r="FRW1" s="753"/>
      <c r="FRX1" s="753"/>
      <c r="FRY1" s="753"/>
      <c r="FRZ1" s="753"/>
      <c r="FSA1" s="753"/>
      <c r="FSB1" s="753"/>
      <c r="FSC1" s="753"/>
      <c r="FSD1" s="753"/>
      <c r="FSE1" s="753"/>
      <c r="FSF1" s="753"/>
      <c r="FSG1" s="753"/>
      <c r="FSH1" s="753"/>
      <c r="FSI1" s="753"/>
      <c r="FSJ1" s="753"/>
      <c r="FSK1" s="753"/>
      <c r="FSL1" s="753"/>
      <c r="FSM1" s="753"/>
      <c r="FSN1" s="753"/>
      <c r="FSO1" s="753"/>
      <c r="FSP1" s="753"/>
      <c r="FSQ1" s="753"/>
      <c r="FSR1" s="753"/>
      <c r="FSS1" s="753"/>
      <c r="FST1" s="753"/>
      <c r="FSU1" s="753"/>
      <c r="FSV1" s="753"/>
      <c r="FSW1" s="753"/>
      <c r="FSX1" s="753"/>
      <c r="FSY1" s="753"/>
      <c r="FSZ1" s="753"/>
      <c r="FTA1" s="753"/>
      <c r="FTB1" s="753"/>
      <c r="FTC1" s="753"/>
      <c r="FTD1" s="753"/>
      <c r="FTE1" s="753"/>
      <c r="FTF1" s="753"/>
      <c r="FTG1" s="753"/>
      <c r="FTH1" s="753"/>
      <c r="FTI1" s="753"/>
      <c r="FTJ1" s="753"/>
      <c r="FTK1" s="753"/>
      <c r="FTL1" s="753"/>
      <c r="FTM1" s="753"/>
      <c r="FTN1" s="753"/>
      <c r="FTO1" s="753"/>
      <c r="FTP1" s="753"/>
      <c r="FTQ1" s="753"/>
      <c r="FTR1" s="753"/>
      <c r="FTS1" s="753"/>
      <c r="FTT1" s="753"/>
      <c r="FTU1" s="753"/>
      <c r="FTV1" s="753"/>
      <c r="FTW1" s="753"/>
      <c r="FTX1" s="753"/>
      <c r="FTY1" s="753"/>
      <c r="FTZ1" s="753"/>
      <c r="FUA1" s="753"/>
      <c r="FUB1" s="753"/>
      <c r="FUC1" s="753"/>
      <c r="FUD1" s="753"/>
      <c r="FUE1" s="753"/>
      <c r="FUF1" s="753"/>
      <c r="FUG1" s="753"/>
      <c r="FUH1" s="753"/>
      <c r="FUI1" s="753"/>
      <c r="FUJ1" s="753"/>
      <c r="FUK1" s="753"/>
      <c r="FUL1" s="753"/>
      <c r="FUM1" s="753"/>
      <c r="FUN1" s="753"/>
      <c r="FUO1" s="753"/>
      <c r="FUP1" s="753"/>
      <c r="FUQ1" s="753"/>
      <c r="FUR1" s="753"/>
      <c r="FUS1" s="753"/>
      <c r="FUT1" s="753"/>
      <c r="FUU1" s="753"/>
      <c r="FUV1" s="753"/>
      <c r="FUW1" s="753"/>
      <c r="FUX1" s="753"/>
      <c r="FUY1" s="753"/>
      <c r="FUZ1" s="753"/>
      <c r="FVA1" s="753"/>
      <c r="FVB1" s="753"/>
      <c r="FVC1" s="753"/>
      <c r="FVD1" s="753"/>
      <c r="FVE1" s="753"/>
      <c r="FVF1" s="753"/>
      <c r="FVG1" s="753"/>
      <c r="FVH1" s="753"/>
      <c r="FVI1" s="753"/>
      <c r="FVJ1" s="753"/>
      <c r="FVK1" s="753"/>
      <c r="FVL1" s="753"/>
      <c r="FVM1" s="753"/>
      <c r="FVN1" s="753"/>
      <c r="FVO1" s="753"/>
      <c r="FVP1" s="753"/>
      <c r="FVQ1" s="753"/>
      <c r="FVR1" s="753"/>
      <c r="FVS1" s="753"/>
      <c r="FVT1" s="753"/>
      <c r="FVU1" s="753"/>
      <c r="FVV1" s="753"/>
      <c r="FVW1" s="753"/>
      <c r="FVX1" s="753"/>
      <c r="FVY1" s="753"/>
      <c r="FVZ1" s="753"/>
      <c r="FWA1" s="753"/>
      <c r="FWB1" s="753"/>
      <c r="FWC1" s="753"/>
      <c r="FWD1" s="753"/>
      <c r="FWE1" s="753"/>
      <c r="FWF1" s="753"/>
      <c r="FWG1" s="753"/>
      <c r="FWH1" s="753"/>
      <c r="FWI1" s="753"/>
      <c r="FWJ1" s="753"/>
      <c r="FWK1" s="753"/>
      <c r="FWL1" s="753"/>
      <c r="FWM1" s="753"/>
      <c r="FWN1" s="753"/>
      <c r="FWO1" s="753"/>
      <c r="FWP1" s="753"/>
      <c r="FWQ1" s="753"/>
      <c r="FWR1" s="753"/>
      <c r="FWS1" s="753"/>
      <c r="FWT1" s="753"/>
      <c r="FWU1" s="753"/>
      <c r="FWV1" s="753"/>
      <c r="FWW1" s="753"/>
      <c r="FWX1" s="753"/>
      <c r="FWY1" s="753"/>
      <c r="FWZ1" s="753"/>
      <c r="FXA1" s="753"/>
      <c r="FXB1" s="753"/>
      <c r="FXC1" s="753"/>
      <c r="FXD1" s="753"/>
      <c r="FXE1" s="753"/>
      <c r="FXF1" s="753"/>
      <c r="FXG1" s="753"/>
      <c r="FXH1" s="753"/>
      <c r="FXI1" s="753"/>
      <c r="FXJ1" s="753"/>
      <c r="FXK1" s="753"/>
      <c r="FXL1" s="753"/>
      <c r="FXM1" s="753"/>
      <c r="FXN1" s="753"/>
      <c r="FXO1" s="753"/>
      <c r="FXP1" s="753"/>
      <c r="FXQ1" s="753"/>
      <c r="FXR1" s="753"/>
      <c r="FXS1" s="753"/>
      <c r="FXT1" s="753"/>
      <c r="FXU1" s="753"/>
      <c r="FXV1" s="753"/>
      <c r="FXW1" s="753"/>
      <c r="FXX1" s="753"/>
      <c r="FXY1" s="753"/>
      <c r="FXZ1" s="753"/>
      <c r="FYA1" s="753"/>
      <c r="FYB1" s="753"/>
      <c r="FYC1" s="753"/>
      <c r="FYD1" s="753"/>
      <c r="FYE1" s="753"/>
      <c r="FYF1" s="753"/>
      <c r="FYG1" s="753"/>
      <c r="FYH1" s="753"/>
      <c r="FYI1" s="753"/>
      <c r="FYJ1" s="753"/>
      <c r="FYK1" s="753"/>
      <c r="FYL1" s="753"/>
      <c r="FYM1" s="753"/>
      <c r="FYN1" s="753"/>
      <c r="FYO1" s="753"/>
      <c r="FYP1" s="753"/>
      <c r="FYQ1" s="753"/>
      <c r="FYR1" s="753"/>
      <c r="FYS1" s="753"/>
      <c r="FYT1" s="753"/>
      <c r="FYU1" s="753"/>
      <c r="FYV1" s="753"/>
      <c r="FYW1" s="753"/>
      <c r="FYX1" s="753"/>
      <c r="FYY1" s="753"/>
      <c r="FYZ1" s="753"/>
      <c r="FZA1" s="753"/>
      <c r="FZB1" s="753"/>
      <c r="FZC1" s="753"/>
      <c r="FZD1" s="753"/>
      <c r="FZE1" s="753"/>
      <c r="FZF1" s="753"/>
      <c r="FZG1" s="753"/>
      <c r="FZH1" s="753"/>
      <c r="FZI1" s="753"/>
      <c r="FZJ1" s="753"/>
      <c r="FZK1" s="753"/>
      <c r="FZL1" s="753"/>
      <c r="FZM1" s="753"/>
      <c r="FZN1" s="753"/>
      <c r="FZO1" s="753"/>
      <c r="FZP1" s="753"/>
      <c r="FZQ1" s="753"/>
      <c r="FZR1" s="753"/>
      <c r="FZS1" s="753"/>
      <c r="FZT1" s="753"/>
      <c r="FZU1" s="753"/>
      <c r="FZV1" s="753"/>
      <c r="FZW1" s="753"/>
      <c r="FZX1" s="753"/>
      <c r="FZY1" s="753"/>
      <c r="FZZ1" s="753"/>
      <c r="GAA1" s="753"/>
      <c r="GAB1" s="753"/>
      <c r="GAC1" s="753"/>
      <c r="GAD1" s="753"/>
      <c r="GAE1" s="753"/>
      <c r="GAF1" s="753"/>
      <c r="GAG1" s="753"/>
      <c r="GAH1" s="753"/>
      <c r="GAI1" s="753"/>
      <c r="GAJ1" s="753"/>
      <c r="GAK1" s="753"/>
      <c r="GAL1" s="753"/>
      <c r="GAM1" s="753"/>
      <c r="GAN1" s="753"/>
      <c r="GAO1" s="753"/>
      <c r="GAP1" s="753"/>
      <c r="GAQ1" s="753"/>
      <c r="GAR1" s="753"/>
      <c r="GAS1" s="753"/>
      <c r="GAT1" s="753"/>
      <c r="GAU1" s="753"/>
      <c r="GAV1" s="753"/>
      <c r="GAW1" s="753"/>
      <c r="GAX1" s="753"/>
      <c r="GAY1" s="753"/>
      <c r="GAZ1" s="753"/>
      <c r="GBA1" s="753"/>
      <c r="GBB1" s="753"/>
      <c r="GBC1" s="753"/>
      <c r="GBD1" s="753"/>
      <c r="GBE1" s="753"/>
      <c r="GBF1" s="753"/>
      <c r="GBG1" s="753"/>
      <c r="GBH1" s="753"/>
      <c r="GBI1" s="753"/>
      <c r="GBJ1" s="753"/>
      <c r="GBK1" s="753"/>
      <c r="GBL1" s="753"/>
      <c r="GBM1" s="753"/>
      <c r="GBN1" s="753"/>
      <c r="GBO1" s="753"/>
      <c r="GBP1" s="753"/>
      <c r="GBQ1" s="753"/>
      <c r="GBR1" s="753"/>
      <c r="GBS1" s="753"/>
      <c r="GBT1" s="753"/>
      <c r="GBU1" s="753"/>
      <c r="GBV1" s="753"/>
      <c r="GBW1" s="753"/>
      <c r="GBX1" s="753"/>
      <c r="GBY1" s="753"/>
      <c r="GBZ1" s="753"/>
      <c r="GCA1" s="753"/>
      <c r="GCB1" s="753"/>
      <c r="GCC1" s="753"/>
      <c r="GCD1" s="753"/>
      <c r="GCE1" s="753"/>
      <c r="GCF1" s="753"/>
      <c r="GCG1" s="753"/>
      <c r="GCH1" s="753"/>
      <c r="GCI1" s="753"/>
      <c r="GCJ1" s="753"/>
      <c r="GCK1" s="753"/>
      <c r="GCL1" s="753"/>
      <c r="GCM1" s="753"/>
      <c r="GCN1" s="753"/>
      <c r="GCO1" s="753"/>
      <c r="GCP1" s="753"/>
      <c r="GCQ1" s="753"/>
      <c r="GCR1" s="753"/>
      <c r="GCS1" s="753"/>
      <c r="GCT1" s="753"/>
      <c r="GCU1" s="753"/>
      <c r="GCV1" s="753"/>
      <c r="GCW1" s="753"/>
      <c r="GCX1" s="753"/>
      <c r="GCY1" s="753"/>
      <c r="GCZ1" s="753"/>
      <c r="GDA1" s="753"/>
      <c r="GDB1" s="753"/>
      <c r="GDC1" s="753"/>
      <c r="GDD1" s="753"/>
      <c r="GDE1" s="753"/>
      <c r="GDF1" s="753"/>
      <c r="GDG1" s="753"/>
      <c r="GDH1" s="753"/>
      <c r="GDI1" s="753"/>
      <c r="GDJ1" s="753"/>
      <c r="GDK1" s="753"/>
      <c r="GDL1" s="753"/>
      <c r="GDM1" s="753"/>
      <c r="GDN1" s="753"/>
      <c r="GDO1" s="753"/>
      <c r="GDP1" s="753"/>
      <c r="GDQ1" s="753"/>
      <c r="GDR1" s="753"/>
      <c r="GDS1" s="753"/>
      <c r="GDT1" s="753"/>
      <c r="GDU1" s="753"/>
      <c r="GDV1" s="753"/>
      <c r="GDW1" s="753"/>
      <c r="GDX1" s="753"/>
      <c r="GDY1" s="753"/>
      <c r="GDZ1" s="753"/>
      <c r="GEA1" s="753"/>
      <c r="GEB1" s="753"/>
      <c r="GEC1" s="753"/>
      <c r="GED1" s="753"/>
      <c r="GEE1" s="753"/>
      <c r="GEF1" s="753"/>
      <c r="GEG1" s="753"/>
      <c r="GEH1" s="753"/>
      <c r="GEI1" s="753"/>
      <c r="GEJ1" s="753"/>
      <c r="GEK1" s="753"/>
      <c r="GEL1" s="753"/>
      <c r="GEM1" s="753"/>
      <c r="GEN1" s="753"/>
      <c r="GEO1" s="753"/>
      <c r="GEP1" s="753"/>
      <c r="GEQ1" s="753"/>
      <c r="GER1" s="753"/>
      <c r="GES1" s="753"/>
      <c r="GET1" s="753"/>
      <c r="GEU1" s="753"/>
      <c r="GEV1" s="753"/>
      <c r="GEW1" s="753"/>
      <c r="GEX1" s="753"/>
      <c r="GEY1" s="753"/>
      <c r="GEZ1" s="753"/>
      <c r="GFA1" s="753"/>
      <c r="GFB1" s="753"/>
      <c r="GFC1" s="753"/>
      <c r="GFD1" s="753"/>
      <c r="GFE1" s="753"/>
      <c r="GFF1" s="753"/>
      <c r="GFG1" s="753"/>
      <c r="GFH1" s="753"/>
      <c r="GFI1" s="753"/>
      <c r="GFJ1" s="753"/>
      <c r="GFK1" s="753"/>
      <c r="GFL1" s="753"/>
      <c r="GFM1" s="753"/>
      <c r="GFN1" s="753"/>
      <c r="GFO1" s="753"/>
      <c r="GFP1" s="753"/>
      <c r="GFQ1" s="753"/>
      <c r="GFR1" s="753"/>
      <c r="GFS1" s="753"/>
      <c r="GFT1" s="753"/>
      <c r="GFU1" s="753"/>
      <c r="GFV1" s="753"/>
      <c r="GFW1" s="753"/>
      <c r="GFX1" s="753"/>
      <c r="GFY1" s="753"/>
      <c r="GFZ1" s="753"/>
      <c r="GGA1" s="753"/>
      <c r="GGB1" s="753"/>
      <c r="GGC1" s="753"/>
      <c r="GGD1" s="753"/>
      <c r="GGE1" s="753"/>
      <c r="GGF1" s="753"/>
      <c r="GGG1" s="753"/>
      <c r="GGH1" s="753"/>
      <c r="GGI1" s="753"/>
      <c r="GGJ1" s="753"/>
      <c r="GGK1" s="753"/>
      <c r="GGL1" s="753"/>
      <c r="GGM1" s="753"/>
      <c r="GGN1" s="753"/>
      <c r="GGO1" s="753"/>
      <c r="GGP1" s="753"/>
      <c r="GGQ1" s="753"/>
      <c r="GGR1" s="753"/>
      <c r="GGS1" s="753"/>
      <c r="GGT1" s="753"/>
      <c r="GGU1" s="753"/>
      <c r="GGV1" s="753"/>
      <c r="GGW1" s="753"/>
      <c r="GGX1" s="753"/>
      <c r="GGY1" s="753"/>
      <c r="GGZ1" s="753"/>
      <c r="GHA1" s="753"/>
      <c r="GHB1" s="753"/>
      <c r="GHC1" s="753"/>
      <c r="GHD1" s="753"/>
      <c r="GHE1" s="753"/>
      <c r="GHF1" s="753"/>
      <c r="GHG1" s="753"/>
      <c r="GHH1" s="753"/>
      <c r="GHI1" s="753"/>
      <c r="GHJ1" s="753"/>
      <c r="GHK1" s="753"/>
      <c r="GHL1" s="753"/>
      <c r="GHM1" s="753"/>
      <c r="GHN1" s="753"/>
      <c r="GHO1" s="753"/>
      <c r="GHP1" s="753"/>
      <c r="GHQ1" s="753"/>
      <c r="GHR1" s="753"/>
      <c r="GHS1" s="753"/>
      <c r="GHT1" s="753"/>
      <c r="GHU1" s="753"/>
      <c r="GHV1" s="753"/>
      <c r="GHW1" s="753"/>
      <c r="GHX1" s="753"/>
      <c r="GHY1" s="753"/>
      <c r="GHZ1" s="753"/>
      <c r="GIA1" s="753"/>
      <c r="GIB1" s="753"/>
      <c r="GIC1" s="753"/>
      <c r="GID1" s="753"/>
      <c r="GIE1" s="753"/>
      <c r="GIF1" s="753"/>
      <c r="GIG1" s="753"/>
      <c r="GIH1" s="753"/>
      <c r="GII1" s="753"/>
      <c r="GIJ1" s="753"/>
      <c r="GIK1" s="753"/>
      <c r="GIL1" s="753"/>
      <c r="GIM1" s="753"/>
      <c r="GIN1" s="753"/>
      <c r="GIO1" s="753"/>
      <c r="GIP1" s="753"/>
      <c r="GIQ1" s="753"/>
      <c r="GIR1" s="753"/>
      <c r="GIS1" s="753"/>
      <c r="GIT1" s="753"/>
      <c r="GIU1" s="753"/>
      <c r="GIV1" s="753"/>
      <c r="GIW1" s="753"/>
      <c r="GIX1" s="753"/>
      <c r="GIY1" s="753"/>
      <c r="GIZ1" s="753"/>
      <c r="GJA1" s="753"/>
      <c r="GJB1" s="753"/>
      <c r="GJC1" s="753"/>
      <c r="GJD1" s="753"/>
      <c r="GJE1" s="753"/>
      <c r="GJF1" s="753"/>
      <c r="GJG1" s="753"/>
      <c r="GJH1" s="753"/>
      <c r="GJI1" s="753"/>
      <c r="GJJ1" s="753"/>
      <c r="GJK1" s="753"/>
      <c r="GJL1" s="753"/>
      <c r="GJM1" s="753"/>
      <c r="GJN1" s="753"/>
      <c r="GJO1" s="753"/>
      <c r="GJP1" s="753"/>
      <c r="GJQ1" s="753"/>
      <c r="GJR1" s="753"/>
      <c r="GJS1" s="753"/>
      <c r="GJT1" s="753"/>
      <c r="GJU1" s="753"/>
      <c r="GJV1" s="753"/>
      <c r="GJW1" s="753"/>
      <c r="GJX1" s="753"/>
      <c r="GJY1" s="753"/>
      <c r="GJZ1" s="753"/>
      <c r="GKA1" s="753"/>
      <c r="GKB1" s="753"/>
      <c r="GKC1" s="753"/>
      <c r="GKD1" s="753"/>
      <c r="GKE1" s="753"/>
      <c r="GKF1" s="753"/>
      <c r="GKG1" s="753"/>
      <c r="GKH1" s="753"/>
      <c r="GKI1" s="753"/>
      <c r="GKJ1" s="753"/>
      <c r="GKK1" s="753"/>
      <c r="GKL1" s="753"/>
      <c r="GKM1" s="753"/>
      <c r="GKN1" s="753"/>
      <c r="GKO1" s="753"/>
      <c r="GKP1" s="753"/>
      <c r="GKQ1" s="753"/>
      <c r="GKR1" s="753"/>
      <c r="GKS1" s="753"/>
      <c r="GKT1" s="753"/>
      <c r="GKU1" s="753"/>
      <c r="GKV1" s="753"/>
      <c r="GKW1" s="753"/>
      <c r="GKX1" s="753"/>
      <c r="GKY1" s="753"/>
      <c r="GKZ1" s="753"/>
      <c r="GLA1" s="753"/>
      <c r="GLB1" s="753"/>
      <c r="GLC1" s="753"/>
      <c r="GLD1" s="753"/>
      <c r="GLE1" s="753"/>
      <c r="GLF1" s="753"/>
      <c r="GLG1" s="753"/>
      <c r="GLH1" s="753"/>
      <c r="GLI1" s="753"/>
      <c r="GLJ1" s="753"/>
      <c r="GLK1" s="753"/>
      <c r="GLL1" s="753"/>
      <c r="GLM1" s="753"/>
      <c r="GLN1" s="753"/>
      <c r="GLO1" s="753"/>
      <c r="GLP1" s="753"/>
      <c r="GLQ1" s="753"/>
      <c r="GLR1" s="753"/>
      <c r="GLS1" s="753"/>
      <c r="GLT1" s="753"/>
      <c r="GLU1" s="753"/>
      <c r="GLV1" s="753"/>
      <c r="GLW1" s="753"/>
      <c r="GLX1" s="753"/>
      <c r="GLY1" s="753"/>
      <c r="GLZ1" s="753"/>
      <c r="GMA1" s="753"/>
      <c r="GMB1" s="753"/>
      <c r="GMC1" s="753"/>
      <c r="GMD1" s="753"/>
      <c r="GME1" s="753"/>
      <c r="GMF1" s="753"/>
      <c r="GMG1" s="753"/>
      <c r="GMH1" s="753"/>
      <c r="GMI1" s="753"/>
      <c r="GMJ1" s="753"/>
      <c r="GMK1" s="753"/>
      <c r="GML1" s="753"/>
      <c r="GMM1" s="753"/>
      <c r="GMN1" s="753"/>
      <c r="GMO1" s="753"/>
      <c r="GMP1" s="753"/>
      <c r="GMQ1" s="753"/>
      <c r="GMR1" s="753"/>
      <c r="GMS1" s="753"/>
      <c r="GMT1" s="753"/>
      <c r="GMU1" s="753"/>
      <c r="GMV1" s="753"/>
      <c r="GMW1" s="753"/>
      <c r="GMX1" s="753"/>
      <c r="GMY1" s="753"/>
      <c r="GMZ1" s="753"/>
      <c r="GNA1" s="753"/>
      <c r="GNB1" s="753"/>
      <c r="GNC1" s="753"/>
      <c r="GND1" s="753"/>
      <c r="GNE1" s="753"/>
      <c r="GNF1" s="753"/>
      <c r="GNG1" s="753"/>
      <c r="GNH1" s="753"/>
      <c r="GNI1" s="753"/>
      <c r="GNJ1" s="753"/>
      <c r="GNK1" s="753"/>
      <c r="GNL1" s="753"/>
      <c r="GNM1" s="753"/>
      <c r="GNN1" s="753"/>
      <c r="GNO1" s="753"/>
      <c r="GNP1" s="753"/>
      <c r="GNQ1" s="753"/>
      <c r="GNR1" s="753"/>
      <c r="GNS1" s="753"/>
      <c r="GNT1" s="753"/>
      <c r="GNU1" s="753"/>
      <c r="GNV1" s="753"/>
      <c r="GNW1" s="753"/>
      <c r="GNX1" s="753"/>
      <c r="GNY1" s="753"/>
      <c r="GNZ1" s="753"/>
      <c r="GOA1" s="753"/>
      <c r="GOB1" s="753"/>
      <c r="GOC1" s="753"/>
      <c r="GOD1" s="753"/>
      <c r="GOE1" s="753"/>
      <c r="GOF1" s="753"/>
      <c r="GOG1" s="753"/>
      <c r="GOH1" s="753"/>
      <c r="GOI1" s="753"/>
      <c r="GOJ1" s="753"/>
      <c r="GOK1" s="753"/>
      <c r="GOL1" s="753"/>
      <c r="GOM1" s="753"/>
      <c r="GON1" s="753"/>
      <c r="GOO1" s="753"/>
      <c r="GOP1" s="753"/>
      <c r="GOQ1" s="753"/>
      <c r="GOR1" s="753"/>
      <c r="GOS1" s="753"/>
      <c r="GOT1" s="753"/>
      <c r="GOU1" s="753"/>
      <c r="GOV1" s="753"/>
      <c r="GOW1" s="753"/>
      <c r="GOX1" s="753"/>
      <c r="GOY1" s="753"/>
      <c r="GOZ1" s="753"/>
      <c r="GPA1" s="753"/>
      <c r="GPB1" s="753"/>
      <c r="GPC1" s="753"/>
      <c r="GPD1" s="753"/>
      <c r="GPE1" s="753"/>
      <c r="GPF1" s="753"/>
      <c r="GPG1" s="753"/>
      <c r="GPH1" s="753"/>
      <c r="GPI1" s="753"/>
      <c r="GPJ1" s="753"/>
      <c r="GPK1" s="753"/>
      <c r="GPL1" s="753"/>
      <c r="GPM1" s="753"/>
      <c r="GPN1" s="753"/>
      <c r="GPO1" s="753"/>
      <c r="GPP1" s="753"/>
      <c r="GPQ1" s="753"/>
      <c r="GPR1" s="753"/>
      <c r="GPS1" s="753"/>
      <c r="GPT1" s="753"/>
      <c r="GPU1" s="753"/>
      <c r="GPV1" s="753"/>
      <c r="GPW1" s="753"/>
      <c r="GPX1" s="753"/>
      <c r="GPY1" s="753"/>
      <c r="GPZ1" s="753"/>
      <c r="GQA1" s="753"/>
      <c r="GQB1" s="753"/>
      <c r="GQC1" s="753"/>
      <c r="GQD1" s="753"/>
      <c r="GQE1" s="753"/>
      <c r="GQF1" s="753"/>
      <c r="GQG1" s="753"/>
      <c r="GQH1" s="753"/>
      <c r="GQI1" s="753"/>
      <c r="GQJ1" s="753"/>
      <c r="GQK1" s="753"/>
      <c r="GQL1" s="753"/>
      <c r="GQM1" s="753"/>
      <c r="GQN1" s="753"/>
      <c r="GQO1" s="753"/>
      <c r="GQP1" s="753"/>
      <c r="GQQ1" s="753"/>
      <c r="GQR1" s="753"/>
      <c r="GQS1" s="753"/>
      <c r="GQT1" s="753"/>
      <c r="GQU1" s="753"/>
      <c r="GQV1" s="753"/>
      <c r="GQW1" s="753"/>
      <c r="GQX1" s="753"/>
      <c r="GQY1" s="753"/>
      <c r="GQZ1" s="753"/>
      <c r="GRA1" s="753"/>
      <c r="GRB1" s="753"/>
      <c r="GRC1" s="753"/>
      <c r="GRD1" s="753"/>
      <c r="GRE1" s="753"/>
      <c r="GRF1" s="753"/>
      <c r="GRG1" s="753"/>
      <c r="GRH1" s="753"/>
      <c r="GRI1" s="753"/>
      <c r="GRJ1" s="753"/>
      <c r="GRK1" s="753"/>
      <c r="GRL1" s="753"/>
      <c r="GRM1" s="753"/>
      <c r="GRN1" s="753"/>
      <c r="GRO1" s="753"/>
      <c r="GRP1" s="753"/>
      <c r="GRQ1" s="753"/>
      <c r="GRR1" s="753"/>
      <c r="GRS1" s="753"/>
      <c r="GRT1" s="753"/>
      <c r="GRU1" s="753"/>
      <c r="GRV1" s="753"/>
      <c r="GRW1" s="753"/>
      <c r="GRX1" s="753"/>
      <c r="GRY1" s="753"/>
      <c r="GRZ1" s="753"/>
      <c r="GSA1" s="753"/>
      <c r="GSB1" s="753"/>
      <c r="GSC1" s="753"/>
      <c r="GSD1" s="753"/>
      <c r="GSE1" s="753"/>
      <c r="GSF1" s="753"/>
      <c r="GSG1" s="753"/>
      <c r="GSH1" s="753"/>
      <c r="GSI1" s="753"/>
      <c r="GSJ1" s="753"/>
      <c r="GSK1" s="753"/>
      <c r="GSL1" s="753"/>
      <c r="GSM1" s="753"/>
      <c r="GSN1" s="753"/>
      <c r="GSO1" s="753"/>
      <c r="GSP1" s="753"/>
      <c r="GSQ1" s="753"/>
      <c r="GSR1" s="753"/>
      <c r="GSS1" s="753"/>
      <c r="GST1" s="753"/>
      <c r="GSU1" s="753"/>
      <c r="GSV1" s="753"/>
      <c r="GSW1" s="753"/>
      <c r="GSX1" s="753"/>
      <c r="GSY1" s="753"/>
      <c r="GSZ1" s="753"/>
      <c r="GTA1" s="753"/>
      <c r="GTB1" s="753"/>
      <c r="GTC1" s="753"/>
      <c r="GTD1" s="753"/>
      <c r="GTE1" s="753"/>
      <c r="GTF1" s="753"/>
      <c r="GTG1" s="753"/>
      <c r="GTH1" s="753"/>
      <c r="GTI1" s="753"/>
      <c r="GTJ1" s="753"/>
      <c r="GTK1" s="753"/>
      <c r="GTL1" s="753"/>
      <c r="GTM1" s="753"/>
      <c r="GTN1" s="753"/>
      <c r="GTO1" s="753"/>
      <c r="GTP1" s="753"/>
      <c r="GTQ1" s="753"/>
      <c r="GTR1" s="753"/>
      <c r="GTS1" s="753"/>
      <c r="GTT1" s="753"/>
      <c r="GTU1" s="753"/>
      <c r="GTV1" s="753"/>
      <c r="GTW1" s="753"/>
      <c r="GTX1" s="753"/>
      <c r="GTY1" s="753"/>
      <c r="GTZ1" s="753"/>
      <c r="GUA1" s="753"/>
      <c r="GUB1" s="753"/>
      <c r="GUC1" s="753"/>
      <c r="GUD1" s="753"/>
      <c r="GUE1" s="753"/>
      <c r="GUF1" s="753"/>
      <c r="GUG1" s="753"/>
      <c r="GUH1" s="753"/>
      <c r="GUI1" s="753"/>
      <c r="GUJ1" s="753"/>
      <c r="GUK1" s="753"/>
      <c r="GUL1" s="753"/>
      <c r="GUM1" s="753"/>
      <c r="GUN1" s="753"/>
      <c r="GUO1" s="753"/>
      <c r="GUP1" s="753"/>
      <c r="GUQ1" s="753"/>
      <c r="GUR1" s="753"/>
      <c r="GUS1" s="753"/>
      <c r="GUT1" s="753"/>
      <c r="GUU1" s="753"/>
      <c r="GUV1" s="753"/>
      <c r="GUW1" s="753"/>
      <c r="GUX1" s="753"/>
      <c r="GUY1" s="753"/>
      <c r="GUZ1" s="753"/>
      <c r="GVA1" s="753"/>
      <c r="GVB1" s="753"/>
      <c r="GVC1" s="753"/>
      <c r="GVD1" s="753"/>
      <c r="GVE1" s="753"/>
      <c r="GVF1" s="753"/>
      <c r="GVG1" s="753"/>
      <c r="GVH1" s="753"/>
      <c r="GVI1" s="753"/>
      <c r="GVJ1" s="753"/>
      <c r="GVK1" s="753"/>
      <c r="GVL1" s="753"/>
      <c r="GVM1" s="753"/>
      <c r="GVN1" s="753"/>
      <c r="GVO1" s="753"/>
      <c r="GVP1" s="753"/>
      <c r="GVQ1" s="753"/>
      <c r="GVR1" s="753"/>
      <c r="GVS1" s="753"/>
      <c r="GVT1" s="753"/>
      <c r="GVU1" s="753"/>
      <c r="GVV1" s="753"/>
      <c r="GVW1" s="753"/>
      <c r="GVX1" s="753"/>
      <c r="GVY1" s="753"/>
      <c r="GVZ1" s="753"/>
      <c r="GWA1" s="753"/>
      <c r="GWB1" s="753"/>
      <c r="GWC1" s="753"/>
      <c r="GWD1" s="753"/>
      <c r="GWE1" s="753"/>
      <c r="GWF1" s="753"/>
      <c r="GWG1" s="753"/>
      <c r="GWH1" s="753"/>
      <c r="GWI1" s="753"/>
      <c r="GWJ1" s="753"/>
      <c r="GWK1" s="753"/>
      <c r="GWL1" s="753"/>
      <c r="GWM1" s="753"/>
      <c r="GWN1" s="753"/>
      <c r="GWO1" s="753"/>
      <c r="GWP1" s="753"/>
      <c r="GWQ1" s="753"/>
      <c r="GWR1" s="753"/>
      <c r="GWS1" s="753"/>
      <c r="GWT1" s="753"/>
      <c r="GWU1" s="753"/>
      <c r="GWV1" s="753"/>
      <c r="GWW1" s="753"/>
      <c r="GWX1" s="753"/>
      <c r="GWY1" s="753"/>
      <c r="GWZ1" s="753"/>
      <c r="GXA1" s="753"/>
      <c r="GXB1" s="753"/>
      <c r="GXC1" s="753"/>
      <c r="GXD1" s="753"/>
      <c r="GXE1" s="753"/>
      <c r="GXF1" s="753"/>
      <c r="GXG1" s="753"/>
      <c r="GXH1" s="753"/>
      <c r="GXI1" s="753"/>
      <c r="GXJ1" s="753"/>
      <c r="GXK1" s="753"/>
      <c r="GXL1" s="753"/>
      <c r="GXM1" s="753"/>
      <c r="GXN1" s="753"/>
      <c r="GXO1" s="753"/>
      <c r="GXP1" s="753"/>
      <c r="GXQ1" s="753"/>
      <c r="GXR1" s="753"/>
      <c r="GXS1" s="753"/>
      <c r="GXT1" s="753"/>
      <c r="GXU1" s="753"/>
      <c r="GXV1" s="753"/>
      <c r="GXW1" s="753"/>
      <c r="GXX1" s="753"/>
      <c r="GXY1" s="753"/>
      <c r="GXZ1" s="753"/>
      <c r="GYA1" s="753"/>
      <c r="GYB1" s="753"/>
      <c r="GYC1" s="753"/>
      <c r="GYD1" s="753"/>
      <c r="GYE1" s="753"/>
      <c r="GYF1" s="753"/>
      <c r="GYG1" s="753"/>
      <c r="GYH1" s="753"/>
      <c r="GYI1" s="753"/>
      <c r="GYJ1" s="753"/>
      <c r="GYK1" s="753"/>
      <c r="GYL1" s="753"/>
      <c r="GYM1" s="753"/>
      <c r="GYN1" s="753"/>
      <c r="GYO1" s="753"/>
      <c r="GYP1" s="753"/>
      <c r="GYQ1" s="753"/>
      <c r="GYR1" s="753"/>
      <c r="GYS1" s="753"/>
      <c r="GYT1" s="753"/>
      <c r="GYU1" s="753"/>
      <c r="GYV1" s="753"/>
      <c r="GYW1" s="753"/>
      <c r="GYX1" s="753"/>
      <c r="GYY1" s="753"/>
      <c r="GYZ1" s="753"/>
      <c r="GZA1" s="753"/>
      <c r="GZB1" s="753"/>
      <c r="GZC1" s="753"/>
      <c r="GZD1" s="753"/>
      <c r="GZE1" s="753"/>
      <c r="GZF1" s="753"/>
      <c r="GZG1" s="753"/>
      <c r="GZH1" s="753"/>
      <c r="GZI1" s="753"/>
      <c r="GZJ1" s="753"/>
      <c r="GZK1" s="753"/>
      <c r="GZL1" s="753"/>
      <c r="GZM1" s="753"/>
      <c r="GZN1" s="753"/>
      <c r="GZO1" s="753"/>
      <c r="GZP1" s="753"/>
      <c r="GZQ1" s="753"/>
      <c r="GZR1" s="753"/>
      <c r="GZS1" s="753"/>
      <c r="GZT1" s="753"/>
      <c r="GZU1" s="753"/>
      <c r="GZV1" s="753"/>
      <c r="GZW1" s="753"/>
      <c r="GZX1" s="753"/>
      <c r="GZY1" s="753"/>
      <c r="GZZ1" s="753"/>
      <c r="HAA1" s="753"/>
      <c r="HAB1" s="753"/>
      <c r="HAC1" s="753"/>
      <c r="HAD1" s="753"/>
      <c r="HAE1" s="753"/>
      <c r="HAF1" s="753"/>
      <c r="HAG1" s="753"/>
      <c r="HAH1" s="753"/>
      <c r="HAI1" s="753"/>
      <c r="HAJ1" s="753"/>
      <c r="HAK1" s="753"/>
      <c r="HAL1" s="753"/>
      <c r="HAM1" s="753"/>
      <c r="HAN1" s="753"/>
      <c r="HAO1" s="753"/>
      <c r="HAP1" s="753"/>
      <c r="HAQ1" s="753"/>
      <c r="HAR1" s="753"/>
      <c r="HAS1" s="753"/>
      <c r="HAT1" s="753"/>
      <c r="HAU1" s="753"/>
      <c r="HAV1" s="753"/>
      <c r="HAW1" s="753"/>
      <c r="HAX1" s="753"/>
      <c r="HAY1" s="753"/>
      <c r="HAZ1" s="753"/>
      <c r="HBA1" s="753"/>
      <c r="HBB1" s="753"/>
      <c r="HBC1" s="753"/>
      <c r="HBD1" s="753"/>
      <c r="HBE1" s="753"/>
      <c r="HBF1" s="753"/>
      <c r="HBG1" s="753"/>
      <c r="HBH1" s="753"/>
      <c r="HBI1" s="753"/>
      <c r="HBJ1" s="753"/>
      <c r="HBK1" s="753"/>
      <c r="HBL1" s="753"/>
      <c r="HBM1" s="753"/>
      <c r="HBN1" s="753"/>
      <c r="HBO1" s="753"/>
      <c r="HBP1" s="753"/>
      <c r="HBQ1" s="753"/>
      <c r="HBR1" s="753"/>
      <c r="HBS1" s="753"/>
      <c r="HBT1" s="753"/>
      <c r="HBU1" s="753"/>
      <c r="HBV1" s="753"/>
      <c r="HBW1" s="753"/>
      <c r="HBX1" s="753"/>
      <c r="HBY1" s="753"/>
      <c r="HBZ1" s="753"/>
      <c r="HCA1" s="753"/>
      <c r="HCB1" s="753"/>
      <c r="HCC1" s="753"/>
      <c r="HCD1" s="753"/>
      <c r="HCE1" s="753"/>
      <c r="HCF1" s="753"/>
      <c r="HCG1" s="753"/>
      <c r="HCH1" s="753"/>
      <c r="HCI1" s="753"/>
      <c r="HCJ1" s="753"/>
      <c r="HCK1" s="753"/>
      <c r="HCL1" s="753"/>
      <c r="HCM1" s="753"/>
      <c r="HCN1" s="753"/>
      <c r="HCO1" s="753"/>
      <c r="HCP1" s="753"/>
      <c r="HCQ1" s="753"/>
      <c r="HCR1" s="753"/>
      <c r="HCS1" s="753"/>
      <c r="HCT1" s="753"/>
      <c r="HCU1" s="753"/>
      <c r="HCV1" s="753"/>
      <c r="HCW1" s="753"/>
      <c r="HCX1" s="753"/>
      <c r="HCY1" s="753"/>
      <c r="HCZ1" s="753"/>
      <c r="HDA1" s="753"/>
      <c r="HDB1" s="753"/>
      <c r="HDC1" s="753"/>
      <c r="HDD1" s="753"/>
      <c r="HDE1" s="753"/>
      <c r="HDF1" s="753"/>
      <c r="HDG1" s="753"/>
      <c r="HDH1" s="753"/>
      <c r="HDI1" s="753"/>
      <c r="HDJ1" s="753"/>
      <c r="HDK1" s="753"/>
      <c r="HDL1" s="753"/>
      <c r="HDM1" s="753"/>
      <c r="HDN1" s="753"/>
      <c r="HDO1" s="753"/>
      <c r="HDP1" s="753"/>
      <c r="HDQ1" s="753"/>
      <c r="HDR1" s="753"/>
      <c r="HDS1" s="753"/>
      <c r="HDT1" s="753"/>
      <c r="HDU1" s="753"/>
      <c r="HDV1" s="753"/>
      <c r="HDW1" s="753"/>
      <c r="HDX1" s="753"/>
      <c r="HDY1" s="753"/>
      <c r="HDZ1" s="753"/>
      <c r="HEA1" s="753"/>
      <c r="HEB1" s="753"/>
      <c r="HEC1" s="753"/>
      <c r="HED1" s="753"/>
      <c r="HEE1" s="753"/>
      <c r="HEF1" s="753"/>
      <c r="HEG1" s="753"/>
      <c r="HEH1" s="753"/>
      <c r="HEI1" s="753"/>
      <c r="HEJ1" s="753"/>
      <c r="HEK1" s="753"/>
      <c r="HEL1" s="753"/>
      <c r="HEM1" s="753"/>
      <c r="HEN1" s="753"/>
      <c r="HEO1" s="753"/>
      <c r="HEP1" s="753"/>
      <c r="HEQ1" s="753"/>
      <c r="HER1" s="753"/>
      <c r="HES1" s="753"/>
      <c r="HET1" s="753"/>
      <c r="HEU1" s="753"/>
      <c r="HEV1" s="753"/>
      <c r="HEW1" s="753"/>
      <c r="HEX1" s="753"/>
      <c r="HEY1" s="753"/>
      <c r="HEZ1" s="753"/>
      <c r="HFA1" s="753"/>
      <c r="HFB1" s="753"/>
      <c r="HFC1" s="753"/>
      <c r="HFD1" s="753"/>
      <c r="HFE1" s="753"/>
      <c r="HFF1" s="753"/>
      <c r="HFG1" s="753"/>
      <c r="HFH1" s="753"/>
      <c r="HFI1" s="753"/>
      <c r="HFJ1" s="753"/>
      <c r="HFK1" s="753"/>
      <c r="HFL1" s="753"/>
      <c r="HFM1" s="753"/>
      <c r="HFN1" s="753"/>
      <c r="HFO1" s="753"/>
      <c r="HFP1" s="753"/>
      <c r="HFQ1" s="753"/>
      <c r="HFR1" s="753"/>
      <c r="HFS1" s="753"/>
      <c r="HFT1" s="753"/>
      <c r="HFU1" s="753"/>
      <c r="HFV1" s="753"/>
      <c r="HFW1" s="753"/>
      <c r="HFX1" s="753"/>
      <c r="HFY1" s="753"/>
      <c r="HFZ1" s="753"/>
      <c r="HGA1" s="753"/>
      <c r="HGB1" s="753"/>
      <c r="HGC1" s="753"/>
      <c r="HGD1" s="753"/>
      <c r="HGE1" s="753"/>
      <c r="HGF1" s="753"/>
      <c r="HGG1" s="753"/>
      <c r="HGH1" s="753"/>
      <c r="HGI1" s="753"/>
      <c r="HGJ1" s="753"/>
      <c r="HGK1" s="753"/>
      <c r="HGL1" s="753"/>
      <c r="HGM1" s="753"/>
      <c r="HGN1" s="753"/>
      <c r="HGO1" s="753"/>
      <c r="HGP1" s="753"/>
      <c r="HGQ1" s="753"/>
      <c r="HGR1" s="753"/>
      <c r="HGS1" s="753"/>
      <c r="HGT1" s="753"/>
      <c r="HGU1" s="753"/>
      <c r="HGV1" s="753"/>
      <c r="HGW1" s="753"/>
      <c r="HGX1" s="753"/>
      <c r="HGY1" s="753"/>
      <c r="HGZ1" s="753"/>
      <c r="HHA1" s="753"/>
      <c r="HHB1" s="753"/>
      <c r="HHC1" s="753"/>
      <c r="HHD1" s="753"/>
      <c r="HHE1" s="753"/>
      <c r="HHF1" s="753"/>
      <c r="HHG1" s="753"/>
      <c r="HHH1" s="753"/>
      <c r="HHI1" s="753"/>
      <c r="HHJ1" s="753"/>
      <c r="HHK1" s="753"/>
      <c r="HHL1" s="753"/>
      <c r="HHM1" s="753"/>
      <c r="HHN1" s="753"/>
      <c r="HHO1" s="753"/>
      <c r="HHP1" s="753"/>
      <c r="HHQ1" s="753"/>
      <c r="HHR1" s="753"/>
      <c r="HHS1" s="753"/>
      <c r="HHT1" s="753"/>
      <c r="HHU1" s="753"/>
      <c r="HHV1" s="753"/>
      <c r="HHW1" s="753"/>
      <c r="HHX1" s="753"/>
      <c r="HHY1" s="753"/>
      <c r="HHZ1" s="753"/>
      <c r="HIA1" s="753"/>
      <c r="HIB1" s="753"/>
      <c r="HIC1" s="753"/>
      <c r="HID1" s="753"/>
      <c r="HIE1" s="753"/>
      <c r="HIF1" s="753"/>
      <c r="HIG1" s="753"/>
      <c r="HIH1" s="753"/>
      <c r="HII1" s="753"/>
      <c r="HIJ1" s="753"/>
      <c r="HIK1" s="753"/>
      <c r="HIL1" s="753"/>
      <c r="HIM1" s="753"/>
      <c r="HIN1" s="753"/>
      <c r="HIO1" s="753"/>
      <c r="HIP1" s="753"/>
      <c r="HIQ1" s="753"/>
      <c r="HIR1" s="753"/>
      <c r="HIS1" s="753"/>
      <c r="HIT1" s="753"/>
      <c r="HIU1" s="753"/>
      <c r="HIV1" s="753"/>
      <c r="HIW1" s="753"/>
      <c r="HIX1" s="753"/>
      <c r="HIY1" s="753"/>
      <c r="HIZ1" s="753"/>
      <c r="HJA1" s="753"/>
      <c r="HJB1" s="753"/>
      <c r="HJC1" s="753"/>
      <c r="HJD1" s="753"/>
      <c r="HJE1" s="753"/>
      <c r="HJF1" s="753"/>
      <c r="HJG1" s="753"/>
      <c r="HJH1" s="753"/>
      <c r="HJI1" s="753"/>
      <c r="HJJ1" s="753"/>
      <c r="HJK1" s="753"/>
      <c r="HJL1" s="753"/>
      <c r="HJM1" s="753"/>
      <c r="HJN1" s="753"/>
      <c r="HJO1" s="753"/>
      <c r="HJP1" s="753"/>
      <c r="HJQ1" s="753"/>
      <c r="HJR1" s="753"/>
      <c r="HJS1" s="753"/>
      <c r="HJT1" s="753"/>
      <c r="HJU1" s="753"/>
      <c r="HJV1" s="753"/>
      <c r="HJW1" s="753"/>
      <c r="HJX1" s="753"/>
      <c r="HJY1" s="753"/>
      <c r="HJZ1" s="753"/>
      <c r="HKA1" s="753"/>
      <c r="HKB1" s="753"/>
      <c r="HKC1" s="753"/>
      <c r="HKD1" s="753"/>
      <c r="HKE1" s="753"/>
      <c r="HKF1" s="753"/>
      <c r="HKG1" s="753"/>
      <c r="HKH1" s="753"/>
      <c r="HKI1" s="753"/>
      <c r="HKJ1" s="753"/>
      <c r="HKK1" s="753"/>
      <c r="HKL1" s="753"/>
      <c r="HKM1" s="753"/>
      <c r="HKN1" s="753"/>
      <c r="HKO1" s="753"/>
      <c r="HKP1" s="753"/>
      <c r="HKQ1" s="753"/>
      <c r="HKR1" s="753"/>
      <c r="HKS1" s="753"/>
      <c r="HKT1" s="753"/>
      <c r="HKU1" s="753"/>
      <c r="HKV1" s="753"/>
      <c r="HKW1" s="753"/>
      <c r="HKX1" s="753"/>
      <c r="HKY1" s="753"/>
      <c r="HKZ1" s="753"/>
      <c r="HLA1" s="753"/>
      <c r="HLB1" s="753"/>
      <c r="HLC1" s="753"/>
      <c r="HLD1" s="753"/>
      <c r="HLE1" s="753"/>
      <c r="HLF1" s="753"/>
      <c r="HLG1" s="753"/>
      <c r="HLH1" s="753"/>
      <c r="HLI1" s="753"/>
      <c r="HLJ1" s="753"/>
      <c r="HLK1" s="753"/>
      <c r="HLL1" s="753"/>
      <c r="HLM1" s="753"/>
      <c r="HLN1" s="753"/>
      <c r="HLO1" s="753"/>
      <c r="HLP1" s="753"/>
      <c r="HLQ1" s="753"/>
      <c r="HLR1" s="753"/>
      <c r="HLS1" s="753"/>
      <c r="HLT1" s="753"/>
      <c r="HLU1" s="753"/>
      <c r="HLV1" s="753"/>
      <c r="HLW1" s="753"/>
      <c r="HLX1" s="753"/>
      <c r="HLY1" s="753"/>
      <c r="HLZ1" s="753"/>
      <c r="HMA1" s="753"/>
      <c r="HMB1" s="753"/>
      <c r="HMC1" s="753"/>
      <c r="HMD1" s="753"/>
      <c r="HME1" s="753"/>
      <c r="HMF1" s="753"/>
      <c r="HMG1" s="753"/>
      <c r="HMH1" s="753"/>
      <c r="HMI1" s="753"/>
      <c r="HMJ1" s="753"/>
      <c r="HMK1" s="753"/>
      <c r="HML1" s="753"/>
      <c r="HMM1" s="753"/>
      <c r="HMN1" s="753"/>
      <c r="HMO1" s="753"/>
      <c r="HMP1" s="753"/>
      <c r="HMQ1" s="753"/>
      <c r="HMR1" s="753"/>
      <c r="HMS1" s="753"/>
      <c r="HMT1" s="753"/>
      <c r="HMU1" s="753"/>
      <c r="HMV1" s="753"/>
      <c r="HMW1" s="753"/>
      <c r="HMX1" s="753"/>
      <c r="HMY1" s="753"/>
      <c r="HMZ1" s="753"/>
      <c r="HNA1" s="753"/>
      <c r="HNB1" s="753"/>
      <c r="HNC1" s="753"/>
      <c r="HND1" s="753"/>
      <c r="HNE1" s="753"/>
      <c r="HNF1" s="753"/>
      <c r="HNG1" s="753"/>
      <c r="HNH1" s="753"/>
      <c r="HNI1" s="753"/>
      <c r="HNJ1" s="753"/>
      <c r="HNK1" s="753"/>
      <c r="HNL1" s="753"/>
      <c r="HNM1" s="753"/>
      <c r="HNN1" s="753"/>
      <c r="HNO1" s="753"/>
      <c r="HNP1" s="753"/>
      <c r="HNQ1" s="753"/>
      <c r="HNR1" s="753"/>
      <c r="HNS1" s="753"/>
      <c r="HNT1" s="753"/>
      <c r="HNU1" s="753"/>
      <c r="HNV1" s="753"/>
      <c r="HNW1" s="753"/>
      <c r="HNX1" s="753"/>
      <c r="HNY1" s="753"/>
      <c r="HNZ1" s="753"/>
      <c r="HOA1" s="753"/>
      <c r="HOB1" s="753"/>
      <c r="HOC1" s="753"/>
      <c r="HOD1" s="753"/>
      <c r="HOE1" s="753"/>
      <c r="HOF1" s="753"/>
      <c r="HOG1" s="753"/>
      <c r="HOH1" s="753"/>
      <c r="HOI1" s="753"/>
      <c r="HOJ1" s="753"/>
      <c r="HOK1" s="753"/>
      <c r="HOL1" s="753"/>
      <c r="HOM1" s="753"/>
      <c r="HON1" s="753"/>
      <c r="HOO1" s="753"/>
      <c r="HOP1" s="753"/>
      <c r="HOQ1" s="753"/>
      <c r="HOR1" s="753"/>
      <c r="HOS1" s="753"/>
      <c r="HOT1" s="753"/>
      <c r="HOU1" s="753"/>
      <c r="HOV1" s="753"/>
      <c r="HOW1" s="753"/>
      <c r="HOX1" s="753"/>
      <c r="HOY1" s="753"/>
      <c r="HOZ1" s="753"/>
      <c r="HPA1" s="753"/>
      <c r="HPB1" s="753"/>
      <c r="HPC1" s="753"/>
      <c r="HPD1" s="753"/>
      <c r="HPE1" s="753"/>
      <c r="HPF1" s="753"/>
      <c r="HPG1" s="753"/>
      <c r="HPH1" s="753"/>
      <c r="HPI1" s="753"/>
      <c r="HPJ1" s="753"/>
      <c r="HPK1" s="753"/>
      <c r="HPL1" s="753"/>
      <c r="HPM1" s="753"/>
      <c r="HPN1" s="753"/>
      <c r="HPO1" s="753"/>
      <c r="HPP1" s="753"/>
      <c r="HPQ1" s="753"/>
      <c r="HPR1" s="753"/>
      <c r="HPS1" s="753"/>
      <c r="HPT1" s="753"/>
      <c r="HPU1" s="753"/>
      <c r="HPV1" s="753"/>
      <c r="HPW1" s="753"/>
      <c r="HPX1" s="753"/>
      <c r="HPY1" s="753"/>
      <c r="HPZ1" s="753"/>
      <c r="HQA1" s="753"/>
      <c r="HQB1" s="753"/>
      <c r="HQC1" s="753"/>
      <c r="HQD1" s="753"/>
      <c r="HQE1" s="753"/>
      <c r="HQF1" s="753"/>
      <c r="HQG1" s="753"/>
      <c r="HQH1" s="753"/>
      <c r="HQI1" s="753"/>
      <c r="HQJ1" s="753"/>
      <c r="HQK1" s="753"/>
      <c r="HQL1" s="753"/>
      <c r="HQM1" s="753"/>
      <c r="HQN1" s="753"/>
      <c r="HQO1" s="753"/>
      <c r="HQP1" s="753"/>
      <c r="HQQ1" s="753"/>
      <c r="HQR1" s="753"/>
      <c r="HQS1" s="753"/>
      <c r="HQT1" s="753"/>
      <c r="HQU1" s="753"/>
      <c r="HQV1" s="753"/>
      <c r="HQW1" s="753"/>
      <c r="HQX1" s="753"/>
      <c r="HQY1" s="753"/>
      <c r="HQZ1" s="753"/>
      <c r="HRA1" s="753"/>
      <c r="HRB1" s="753"/>
      <c r="HRC1" s="753"/>
      <c r="HRD1" s="753"/>
      <c r="HRE1" s="753"/>
      <c r="HRF1" s="753"/>
      <c r="HRG1" s="753"/>
      <c r="HRH1" s="753"/>
      <c r="HRI1" s="753"/>
      <c r="HRJ1" s="753"/>
      <c r="HRK1" s="753"/>
      <c r="HRL1" s="753"/>
      <c r="HRM1" s="753"/>
      <c r="HRN1" s="753"/>
      <c r="HRO1" s="753"/>
      <c r="HRP1" s="753"/>
      <c r="HRQ1" s="753"/>
      <c r="HRR1" s="753"/>
      <c r="HRS1" s="753"/>
      <c r="HRT1" s="753"/>
      <c r="HRU1" s="753"/>
      <c r="HRV1" s="753"/>
      <c r="HRW1" s="753"/>
      <c r="HRX1" s="753"/>
      <c r="HRY1" s="753"/>
      <c r="HRZ1" s="753"/>
      <c r="HSA1" s="753"/>
      <c r="HSB1" s="753"/>
      <c r="HSC1" s="753"/>
      <c r="HSD1" s="753"/>
      <c r="HSE1" s="753"/>
      <c r="HSF1" s="753"/>
      <c r="HSG1" s="753"/>
      <c r="HSH1" s="753"/>
      <c r="HSI1" s="753"/>
      <c r="HSJ1" s="753"/>
      <c r="HSK1" s="753"/>
      <c r="HSL1" s="753"/>
      <c r="HSM1" s="753"/>
      <c r="HSN1" s="753"/>
      <c r="HSO1" s="753"/>
      <c r="HSP1" s="753"/>
      <c r="HSQ1" s="753"/>
      <c r="HSR1" s="753"/>
      <c r="HSS1" s="753"/>
      <c r="HST1" s="753"/>
      <c r="HSU1" s="753"/>
      <c r="HSV1" s="753"/>
      <c r="HSW1" s="753"/>
      <c r="HSX1" s="753"/>
      <c r="HSY1" s="753"/>
      <c r="HSZ1" s="753"/>
      <c r="HTA1" s="753"/>
      <c r="HTB1" s="753"/>
      <c r="HTC1" s="753"/>
      <c r="HTD1" s="753"/>
      <c r="HTE1" s="753"/>
      <c r="HTF1" s="753"/>
      <c r="HTG1" s="753"/>
      <c r="HTH1" s="753"/>
      <c r="HTI1" s="753"/>
      <c r="HTJ1" s="753"/>
      <c r="HTK1" s="753"/>
      <c r="HTL1" s="753"/>
      <c r="HTM1" s="753"/>
      <c r="HTN1" s="753"/>
      <c r="HTO1" s="753"/>
      <c r="HTP1" s="753"/>
      <c r="HTQ1" s="753"/>
      <c r="HTR1" s="753"/>
      <c r="HTS1" s="753"/>
      <c r="HTT1" s="753"/>
      <c r="HTU1" s="753"/>
      <c r="HTV1" s="753"/>
      <c r="HTW1" s="753"/>
      <c r="HTX1" s="753"/>
      <c r="HTY1" s="753"/>
      <c r="HTZ1" s="753"/>
      <c r="HUA1" s="753"/>
      <c r="HUB1" s="753"/>
      <c r="HUC1" s="753"/>
      <c r="HUD1" s="753"/>
      <c r="HUE1" s="753"/>
      <c r="HUF1" s="753"/>
      <c r="HUG1" s="753"/>
      <c r="HUH1" s="753"/>
      <c r="HUI1" s="753"/>
      <c r="HUJ1" s="753"/>
      <c r="HUK1" s="753"/>
      <c r="HUL1" s="753"/>
      <c r="HUM1" s="753"/>
      <c r="HUN1" s="753"/>
      <c r="HUO1" s="753"/>
      <c r="HUP1" s="753"/>
      <c r="HUQ1" s="753"/>
      <c r="HUR1" s="753"/>
      <c r="HUS1" s="753"/>
      <c r="HUT1" s="753"/>
      <c r="HUU1" s="753"/>
      <c r="HUV1" s="753"/>
      <c r="HUW1" s="753"/>
      <c r="HUX1" s="753"/>
      <c r="HUY1" s="753"/>
      <c r="HUZ1" s="753"/>
      <c r="HVA1" s="753"/>
      <c r="HVB1" s="753"/>
      <c r="HVC1" s="753"/>
      <c r="HVD1" s="753"/>
      <c r="HVE1" s="753"/>
      <c r="HVF1" s="753"/>
      <c r="HVG1" s="753"/>
      <c r="HVH1" s="753"/>
      <c r="HVI1" s="753"/>
      <c r="HVJ1" s="753"/>
      <c r="HVK1" s="753"/>
      <c r="HVL1" s="753"/>
      <c r="HVM1" s="753"/>
      <c r="HVN1" s="753"/>
      <c r="HVO1" s="753"/>
      <c r="HVP1" s="753"/>
      <c r="HVQ1" s="753"/>
      <c r="HVR1" s="753"/>
      <c r="HVS1" s="753"/>
      <c r="HVT1" s="753"/>
      <c r="HVU1" s="753"/>
      <c r="HVV1" s="753"/>
      <c r="HVW1" s="753"/>
      <c r="HVX1" s="753"/>
      <c r="HVY1" s="753"/>
      <c r="HVZ1" s="753"/>
      <c r="HWA1" s="753"/>
      <c r="HWB1" s="753"/>
      <c r="HWC1" s="753"/>
      <c r="HWD1" s="753"/>
      <c r="HWE1" s="753"/>
      <c r="HWF1" s="753"/>
      <c r="HWG1" s="753"/>
      <c r="HWH1" s="753"/>
      <c r="HWI1" s="753"/>
      <c r="HWJ1" s="753"/>
      <c r="HWK1" s="753"/>
      <c r="HWL1" s="753"/>
      <c r="HWM1" s="753"/>
      <c r="HWN1" s="753"/>
      <c r="HWO1" s="753"/>
      <c r="HWP1" s="753"/>
      <c r="HWQ1" s="753"/>
      <c r="HWR1" s="753"/>
      <c r="HWS1" s="753"/>
      <c r="HWT1" s="753"/>
      <c r="HWU1" s="753"/>
      <c r="HWV1" s="753"/>
      <c r="HWW1" s="753"/>
      <c r="HWX1" s="753"/>
      <c r="HWY1" s="753"/>
      <c r="HWZ1" s="753"/>
      <c r="HXA1" s="753"/>
      <c r="HXB1" s="753"/>
      <c r="HXC1" s="753"/>
      <c r="HXD1" s="753"/>
      <c r="HXE1" s="753"/>
      <c r="HXF1" s="753"/>
      <c r="HXG1" s="753"/>
      <c r="HXH1" s="753"/>
      <c r="HXI1" s="753"/>
      <c r="HXJ1" s="753"/>
      <c r="HXK1" s="753"/>
      <c r="HXL1" s="753"/>
      <c r="HXM1" s="753"/>
      <c r="HXN1" s="753"/>
      <c r="HXO1" s="753"/>
      <c r="HXP1" s="753"/>
      <c r="HXQ1" s="753"/>
      <c r="HXR1" s="753"/>
      <c r="HXS1" s="753"/>
      <c r="HXT1" s="753"/>
      <c r="HXU1" s="753"/>
      <c r="HXV1" s="753"/>
      <c r="HXW1" s="753"/>
      <c r="HXX1" s="753"/>
      <c r="HXY1" s="753"/>
      <c r="HXZ1" s="753"/>
      <c r="HYA1" s="753"/>
      <c r="HYB1" s="753"/>
      <c r="HYC1" s="753"/>
      <c r="HYD1" s="753"/>
      <c r="HYE1" s="753"/>
      <c r="HYF1" s="753"/>
      <c r="HYG1" s="753"/>
      <c r="HYH1" s="753"/>
      <c r="HYI1" s="753"/>
      <c r="HYJ1" s="753"/>
      <c r="HYK1" s="753"/>
      <c r="HYL1" s="753"/>
      <c r="HYM1" s="753"/>
      <c r="HYN1" s="753"/>
      <c r="HYO1" s="753"/>
      <c r="HYP1" s="753"/>
      <c r="HYQ1" s="753"/>
      <c r="HYR1" s="753"/>
      <c r="HYS1" s="753"/>
      <c r="HYT1" s="753"/>
      <c r="HYU1" s="753"/>
      <c r="HYV1" s="753"/>
      <c r="HYW1" s="753"/>
      <c r="HYX1" s="753"/>
      <c r="HYY1" s="753"/>
      <c r="HYZ1" s="753"/>
      <c r="HZA1" s="753"/>
      <c r="HZB1" s="753"/>
      <c r="HZC1" s="753"/>
      <c r="HZD1" s="753"/>
      <c r="HZE1" s="753"/>
      <c r="HZF1" s="753"/>
      <c r="HZG1" s="753"/>
      <c r="HZH1" s="753"/>
      <c r="HZI1" s="753"/>
      <c r="HZJ1" s="753"/>
      <c r="HZK1" s="753"/>
      <c r="HZL1" s="753"/>
      <c r="HZM1" s="753"/>
      <c r="HZN1" s="753"/>
      <c r="HZO1" s="753"/>
      <c r="HZP1" s="753"/>
      <c r="HZQ1" s="753"/>
      <c r="HZR1" s="753"/>
      <c r="HZS1" s="753"/>
      <c r="HZT1" s="753"/>
      <c r="HZU1" s="753"/>
      <c r="HZV1" s="753"/>
      <c r="HZW1" s="753"/>
      <c r="HZX1" s="753"/>
      <c r="HZY1" s="753"/>
      <c r="HZZ1" s="753"/>
      <c r="IAA1" s="753"/>
      <c r="IAB1" s="753"/>
      <c r="IAC1" s="753"/>
      <c r="IAD1" s="753"/>
      <c r="IAE1" s="753"/>
      <c r="IAF1" s="753"/>
      <c r="IAG1" s="753"/>
      <c r="IAH1" s="753"/>
      <c r="IAI1" s="753"/>
      <c r="IAJ1" s="753"/>
      <c r="IAK1" s="753"/>
      <c r="IAL1" s="753"/>
      <c r="IAM1" s="753"/>
      <c r="IAN1" s="753"/>
      <c r="IAO1" s="753"/>
      <c r="IAP1" s="753"/>
      <c r="IAQ1" s="753"/>
      <c r="IAR1" s="753"/>
      <c r="IAS1" s="753"/>
      <c r="IAT1" s="753"/>
      <c r="IAU1" s="753"/>
      <c r="IAV1" s="753"/>
      <c r="IAW1" s="753"/>
      <c r="IAX1" s="753"/>
      <c r="IAY1" s="753"/>
      <c r="IAZ1" s="753"/>
      <c r="IBA1" s="753"/>
      <c r="IBB1" s="753"/>
      <c r="IBC1" s="753"/>
      <c r="IBD1" s="753"/>
      <c r="IBE1" s="753"/>
      <c r="IBF1" s="753"/>
      <c r="IBG1" s="753"/>
      <c r="IBH1" s="753"/>
      <c r="IBI1" s="753"/>
      <c r="IBJ1" s="753"/>
      <c r="IBK1" s="753"/>
      <c r="IBL1" s="753"/>
      <c r="IBM1" s="753"/>
      <c r="IBN1" s="753"/>
      <c r="IBO1" s="753"/>
      <c r="IBP1" s="753"/>
      <c r="IBQ1" s="753"/>
      <c r="IBR1" s="753"/>
      <c r="IBS1" s="753"/>
      <c r="IBT1" s="753"/>
      <c r="IBU1" s="753"/>
      <c r="IBV1" s="753"/>
      <c r="IBW1" s="753"/>
      <c r="IBX1" s="753"/>
      <c r="IBY1" s="753"/>
      <c r="IBZ1" s="753"/>
      <c r="ICA1" s="753"/>
      <c r="ICB1" s="753"/>
      <c r="ICC1" s="753"/>
      <c r="ICD1" s="753"/>
      <c r="ICE1" s="753"/>
      <c r="ICF1" s="753"/>
      <c r="ICG1" s="753"/>
      <c r="ICH1" s="753"/>
      <c r="ICI1" s="753"/>
      <c r="ICJ1" s="753"/>
      <c r="ICK1" s="753"/>
      <c r="ICL1" s="753"/>
      <c r="ICM1" s="753"/>
      <c r="ICN1" s="753"/>
      <c r="ICO1" s="753"/>
      <c r="ICP1" s="753"/>
      <c r="ICQ1" s="753"/>
      <c r="ICR1" s="753"/>
      <c r="ICS1" s="753"/>
      <c r="ICT1" s="753"/>
      <c r="ICU1" s="753"/>
      <c r="ICV1" s="753"/>
      <c r="ICW1" s="753"/>
      <c r="ICX1" s="753"/>
      <c r="ICY1" s="753"/>
      <c r="ICZ1" s="753"/>
      <c r="IDA1" s="753"/>
      <c r="IDB1" s="753"/>
      <c r="IDC1" s="753"/>
      <c r="IDD1" s="753"/>
      <c r="IDE1" s="753"/>
      <c r="IDF1" s="753"/>
      <c r="IDG1" s="753"/>
      <c r="IDH1" s="753"/>
      <c r="IDI1" s="753"/>
      <c r="IDJ1" s="753"/>
      <c r="IDK1" s="753"/>
      <c r="IDL1" s="753"/>
      <c r="IDM1" s="753"/>
      <c r="IDN1" s="753"/>
      <c r="IDO1" s="753"/>
      <c r="IDP1" s="753"/>
      <c r="IDQ1" s="753"/>
      <c r="IDR1" s="753"/>
      <c r="IDS1" s="753"/>
      <c r="IDT1" s="753"/>
      <c r="IDU1" s="753"/>
      <c r="IDV1" s="753"/>
      <c r="IDW1" s="753"/>
      <c r="IDX1" s="753"/>
      <c r="IDY1" s="753"/>
      <c r="IDZ1" s="753"/>
      <c r="IEA1" s="753"/>
      <c r="IEB1" s="753"/>
      <c r="IEC1" s="753"/>
      <c r="IED1" s="753"/>
      <c r="IEE1" s="753"/>
      <c r="IEF1" s="753"/>
      <c r="IEG1" s="753"/>
      <c r="IEH1" s="753"/>
      <c r="IEI1" s="753"/>
      <c r="IEJ1" s="753"/>
      <c r="IEK1" s="753"/>
      <c r="IEL1" s="753"/>
      <c r="IEM1" s="753"/>
      <c r="IEN1" s="753"/>
      <c r="IEO1" s="753"/>
      <c r="IEP1" s="753"/>
      <c r="IEQ1" s="753"/>
      <c r="IER1" s="753"/>
      <c r="IES1" s="753"/>
      <c r="IET1" s="753"/>
      <c r="IEU1" s="753"/>
      <c r="IEV1" s="753"/>
      <c r="IEW1" s="753"/>
      <c r="IEX1" s="753"/>
      <c r="IEY1" s="753"/>
      <c r="IEZ1" s="753"/>
      <c r="IFA1" s="753"/>
      <c r="IFB1" s="753"/>
      <c r="IFC1" s="753"/>
      <c r="IFD1" s="753"/>
      <c r="IFE1" s="753"/>
      <c r="IFF1" s="753"/>
      <c r="IFG1" s="753"/>
      <c r="IFH1" s="753"/>
      <c r="IFI1" s="753"/>
      <c r="IFJ1" s="753"/>
      <c r="IFK1" s="753"/>
      <c r="IFL1" s="753"/>
      <c r="IFM1" s="753"/>
      <c r="IFN1" s="753"/>
      <c r="IFO1" s="753"/>
      <c r="IFP1" s="753"/>
      <c r="IFQ1" s="753"/>
      <c r="IFR1" s="753"/>
      <c r="IFS1" s="753"/>
      <c r="IFT1" s="753"/>
      <c r="IFU1" s="753"/>
      <c r="IFV1" s="753"/>
      <c r="IFW1" s="753"/>
      <c r="IFX1" s="753"/>
      <c r="IFY1" s="753"/>
      <c r="IFZ1" s="753"/>
      <c r="IGA1" s="753"/>
      <c r="IGB1" s="753"/>
      <c r="IGC1" s="753"/>
      <c r="IGD1" s="753"/>
      <c r="IGE1" s="753"/>
      <c r="IGF1" s="753"/>
      <c r="IGG1" s="753"/>
      <c r="IGH1" s="753"/>
      <c r="IGI1" s="753"/>
      <c r="IGJ1" s="753"/>
      <c r="IGK1" s="753"/>
      <c r="IGL1" s="753"/>
      <c r="IGM1" s="753"/>
      <c r="IGN1" s="753"/>
      <c r="IGO1" s="753"/>
      <c r="IGP1" s="753"/>
      <c r="IGQ1" s="753"/>
      <c r="IGR1" s="753"/>
      <c r="IGS1" s="753"/>
      <c r="IGT1" s="753"/>
      <c r="IGU1" s="753"/>
      <c r="IGV1" s="753"/>
      <c r="IGW1" s="753"/>
      <c r="IGX1" s="753"/>
      <c r="IGY1" s="753"/>
      <c r="IGZ1" s="753"/>
      <c r="IHA1" s="753"/>
      <c r="IHB1" s="753"/>
      <c r="IHC1" s="753"/>
      <c r="IHD1" s="753"/>
      <c r="IHE1" s="753"/>
      <c r="IHF1" s="753"/>
      <c r="IHG1" s="753"/>
      <c r="IHH1" s="753"/>
      <c r="IHI1" s="753"/>
      <c r="IHJ1" s="753"/>
      <c r="IHK1" s="753"/>
      <c r="IHL1" s="753"/>
      <c r="IHM1" s="753"/>
      <c r="IHN1" s="753"/>
      <c r="IHO1" s="753"/>
      <c r="IHP1" s="753"/>
      <c r="IHQ1" s="753"/>
      <c r="IHR1" s="753"/>
      <c r="IHS1" s="753"/>
      <c r="IHT1" s="753"/>
      <c r="IHU1" s="753"/>
      <c r="IHV1" s="753"/>
      <c r="IHW1" s="753"/>
      <c r="IHX1" s="753"/>
      <c r="IHY1" s="753"/>
      <c r="IHZ1" s="753"/>
      <c r="IIA1" s="753"/>
      <c r="IIB1" s="753"/>
      <c r="IIC1" s="753"/>
      <c r="IID1" s="753"/>
      <c r="IIE1" s="753"/>
      <c r="IIF1" s="753"/>
      <c r="IIG1" s="753"/>
      <c r="IIH1" s="753"/>
      <c r="III1" s="753"/>
      <c r="IIJ1" s="753"/>
      <c r="IIK1" s="753"/>
      <c r="IIL1" s="753"/>
      <c r="IIM1" s="753"/>
      <c r="IIN1" s="753"/>
      <c r="IIO1" s="753"/>
      <c r="IIP1" s="753"/>
      <c r="IIQ1" s="753"/>
      <c r="IIR1" s="753"/>
      <c r="IIS1" s="753"/>
      <c r="IIT1" s="753"/>
      <c r="IIU1" s="753"/>
      <c r="IIV1" s="753"/>
      <c r="IIW1" s="753"/>
      <c r="IIX1" s="753"/>
      <c r="IIY1" s="753"/>
      <c r="IIZ1" s="753"/>
      <c r="IJA1" s="753"/>
      <c r="IJB1" s="753"/>
      <c r="IJC1" s="753"/>
      <c r="IJD1" s="753"/>
      <c r="IJE1" s="753"/>
      <c r="IJF1" s="753"/>
      <c r="IJG1" s="753"/>
      <c r="IJH1" s="753"/>
      <c r="IJI1" s="753"/>
      <c r="IJJ1" s="753"/>
      <c r="IJK1" s="753"/>
      <c r="IJL1" s="753"/>
      <c r="IJM1" s="753"/>
      <c r="IJN1" s="753"/>
      <c r="IJO1" s="753"/>
      <c r="IJP1" s="753"/>
      <c r="IJQ1" s="753"/>
      <c r="IJR1" s="753"/>
      <c r="IJS1" s="753"/>
      <c r="IJT1" s="753"/>
      <c r="IJU1" s="753"/>
      <c r="IJV1" s="753"/>
      <c r="IJW1" s="753"/>
      <c r="IJX1" s="753"/>
      <c r="IJY1" s="753"/>
      <c r="IJZ1" s="753"/>
      <c r="IKA1" s="753"/>
      <c r="IKB1" s="753"/>
      <c r="IKC1" s="753"/>
      <c r="IKD1" s="753"/>
      <c r="IKE1" s="753"/>
      <c r="IKF1" s="753"/>
      <c r="IKG1" s="753"/>
      <c r="IKH1" s="753"/>
      <c r="IKI1" s="753"/>
      <c r="IKJ1" s="753"/>
      <c r="IKK1" s="753"/>
      <c r="IKL1" s="753"/>
      <c r="IKM1" s="753"/>
      <c r="IKN1" s="753"/>
      <c r="IKO1" s="753"/>
      <c r="IKP1" s="753"/>
      <c r="IKQ1" s="753"/>
      <c r="IKR1" s="753"/>
      <c r="IKS1" s="753"/>
      <c r="IKT1" s="753"/>
      <c r="IKU1" s="753"/>
      <c r="IKV1" s="753"/>
      <c r="IKW1" s="753"/>
      <c r="IKX1" s="753"/>
      <c r="IKY1" s="753"/>
      <c r="IKZ1" s="753"/>
      <c r="ILA1" s="753"/>
      <c r="ILB1" s="753"/>
      <c r="ILC1" s="753"/>
      <c r="ILD1" s="753"/>
      <c r="ILE1" s="753"/>
      <c r="ILF1" s="753"/>
      <c r="ILG1" s="753"/>
      <c r="ILH1" s="753"/>
      <c r="ILI1" s="753"/>
      <c r="ILJ1" s="753"/>
      <c r="ILK1" s="753"/>
      <c r="ILL1" s="753"/>
      <c r="ILM1" s="753"/>
      <c r="ILN1" s="753"/>
      <c r="ILO1" s="753"/>
      <c r="ILP1" s="753"/>
      <c r="ILQ1" s="753"/>
      <c r="ILR1" s="753"/>
      <c r="ILS1" s="753"/>
      <c r="ILT1" s="753"/>
      <c r="ILU1" s="753"/>
      <c r="ILV1" s="753"/>
      <c r="ILW1" s="753"/>
      <c r="ILX1" s="753"/>
      <c r="ILY1" s="753"/>
      <c r="ILZ1" s="753"/>
      <c r="IMA1" s="753"/>
      <c r="IMB1" s="753"/>
      <c r="IMC1" s="753"/>
      <c r="IMD1" s="753"/>
      <c r="IME1" s="753"/>
      <c r="IMF1" s="753"/>
      <c r="IMG1" s="753"/>
      <c r="IMH1" s="753"/>
      <c r="IMI1" s="753"/>
      <c r="IMJ1" s="753"/>
      <c r="IMK1" s="753"/>
      <c r="IML1" s="753"/>
      <c r="IMM1" s="753"/>
      <c r="IMN1" s="753"/>
      <c r="IMO1" s="753"/>
      <c r="IMP1" s="753"/>
      <c r="IMQ1" s="753"/>
      <c r="IMR1" s="753"/>
      <c r="IMS1" s="753"/>
      <c r="IMT1" s="753"/>
      <c r="IMU1" s="753"/>
      <c r="IMV1" s="753"/>
      <c r="IMW1" s="753"/>
      <c r="IMX1" s="753"/>
      <c r="IMY1" s="753"/>
      <c r="IMZ1" s="753"/>
      <c r="INA1" s="753"/>
      <c r="INB1" s="753"/>
      <c r="INC1" s="753"/>
      <c r="IND1" s="753"/>
      <c r="INE1" s="753"/>
      <c r="INF1" s="753"/>
      <c r="ING1" s="753"/>
      <c r="INH1" s="753"/>
      <c r="INI1" s="753"/>
      <c r="INJ1" s="753"/>
      <c r="INK1" s="753"/>
      <c r="INL1" s="753"/>
      <c r="INM1" s="753"/>
      <c r="INN1" s="753"/>
      <c r="INO1" s="753"/>
      <c r="INP1" s="753"/>
      <c r="INQ1" s="753"/>
      <c r="INR1" s="753"/>
      <c r="INS1" s="753"/>
      <c r="INT1" s="753"/>
      <c r="INU1" s="753"/>
      <c r="INV1" s="753"/>
      <c r="INW1" s="753"/>
      <c r="INX1" s="753"/>
      <c r="INY1" s="753"/>
      <c r="INZ1" s="753"/>
      <c r="IOA1" s="753"/>
      <c r="IOB1" s="753"/>
      <c r="IOC1" s="753"/>
      <c r="IOD1" s="753"/>
      <c r="IOE1" s="753"/>
      <c r="IOF1" s="753"/>
      <c r="IOG1" s="753"/>
      <c r="IOH1" s="753"/>
      <c r="IOI1" s="753"/>
      <c r="IOJ1" s="753"/>
      <c r="IOK1" s="753"/>
      <c r="IOL1" s="753"/>
      <c r="IOM1" s="753"/>
      <c r="ION1" s="753"/>
      <c r="IOO1" s="753"/>
      <c r="IOP1" s="753"/>
      <c r="IOQ1" s="753"/>
      <c r="IOR1" s="753"/>
      <c r="IOS1" s="753"/>
      <c r="IOT1" s="753"/>
      <c r="IOU1" s="753"/>
      <c r="IOV1" s="753"/>
      <c r="IOW1" s="753"/>
      <c r="IOX1" s="753"/>
      <c r="IOY1" s="753"/>
      <c r="IOZ1" s="753"/>
      <c r="IPA1" s="753"/>
      <c r="IPB1" s="753"/>
      <c r="IPC1" s="753"/>
      <c r="IPD1" s="753"/>
      <c r="IPE1" s="753"/>
      <c r="IPF1" s="753"/>
      <c r="IPG1" s="753"/>
      <c r="IPH1" s="753"/>
      <c r="IPI1" s="753"/>
      <c r="IPJ1" s="753"/>
      <c r="IPK1" s="753"/>
      <c r="IPL1" s="753"/>
      <c r="IPM1" s="753"/>
      <c r="IPN1" s="753"/>
      <c r="IPO1" s="753"/>
      <c r="IPP1" s="753"/>
      <c r="IPQ1" s="753"/>
      <c r="IPR1" s="753"/>
      <c r="IPS1" s="753"/>
      <c r="IPT1" s="753"/>
      <c r="IPU1" s="753"/>
      <c r="IPV1" s="753"/>
      <c r="IPW1" s="753"/>
      <c r="IPX1" s="753"/>
      <c r="IPY1" s="753"/>
      <c r="IPZ1" s="753"/>
      <c r="IQA1" s="753"/>
      <c r="IQB1" s="753"/>
      <c r="IQC1" s="753"/>
      <c r="IQD1" s="753"/>
      <c r="IQE1" s="753"/>
      <c r="IQF1" s="753"/>
      <c r="IQG1" s="753"/>
      <c r="IQH1" s="753"/>
      <c r="IQI1" s="753"/>
      <c r="IQJ1" s="753"/>
      <c r="IQK1" s="753"/>
      <c r="IQL1" s="753"/>
      <c r="IQM1" s="753"/>
      <c r="IQN1" s="753"/>
      <c r="IQO1" s="753"/>
      <c r="IQP1" s="753"/>
      <c r="IQQ1" s="753"/>
      <c r="IQR1" s="753"/>
      <c r="IQS1" s="753"/>
      <c r="IQT1" s="753"/>
      <c r="IQU1" s="753"/>
      <c r="IQV1" s="753"/>
      <c r="IQW1" s="753"/>
      <c r="IQX1" s="753"/>
      <c r="IQY1" s="753"/>
      <c r="IQZ1" s="753"/>
      <c r="IRA1" s="753"/>
      <c r="IRB1" s="753"/>
      <c r="IRC1" s="753"/>
      <c r="IRD1" s="753"/>
      <c r="IRE1" s="753"/>
      <c r="IRF1" s="753"/>
      <c r="IRG1" s="753"/>
      <c r="IRH1" s="753"/>
      <c r="IRI1" s="753"/>
      <c r="IRJ1" s="753"/>
      <c r="IRK1" s="753"/>
      <c r="IRL1" s="753"/>
      <c r="IRM1" s="753"/>
      <c r="IRN1" s="753"/>
      <c r="IRO1" s="753"/>
      <c r="IRP1" s="753"/>
      <c r="IRQ1" s="753"/>
      <c r="IRR1" s="753"/>
      <c r="IRS1" s="753"/>
      <c r="IRT1" s="753"/>
      <c r="IRU1" s="753"/>
      <c r="IRV1" s="753"/>
      <c r="IRW1" s="753"/>
      <c r="IRX1" s="753"/>
      <c r="IRY1" s="753"/>
      <c r="IRZ1" s="753"/>
      <c r="ISA1" s="753"/>
      <c r="ISB1" s="753"/>
      <c r="ISC1" s="753"/>
      <c r="ISD1" s="753"/>
      <c r="ISE1" s="753"/>
      <c r="ISF1" s="753"/>
      <c r="ISG1" s="753"/>
      <c r="ISH1" s="753"/>
      <c r="ISI1" s="753"/>
      <c r="ISJ1" s="753"/>
      <c r="ISK1" s="753"/>
      <c r="ISL1" s="753"/>
      <c r="ISM1" s="753"/>
      <c r="ISN1" s="753"/>
      <c r="ISO1" s="753"/>
      <c r="ISP1" s="753"/>
      <c r="ISQ1" s="753"/>
      <c r="ISR1" s="753"/>
      <c r="ISS1" s="753"/>
      <c r="IST1" s="753"/>
      <c r="ISU1" s="753"/>
      <c r="ISV1" s="753"/>
      <c r="ISW1" s="753"/>
      <c r="ISX1" s="753"/>
      <c r="ISY1" s="753"/>
      <c r="ISZ1" s="753"/>
      <c r="ITA1" s="753"/>
      <c r="ITB1" s="753"/>
      <c r="ITC1" s="753"/>
      <c r="ITD1" s="753"/>
      <c r="ITE1" s="753"/>
      <c r="ITF1" s="753"/>
      <c r="ITG1" s="753"/>
      <c r="ITH1" s="753"/>
      <c r="ITI1" s="753"/>
      <c r="ITJ1" s="753"/>
      <c r="ITK1" s="753"/>
      <c r="ITL1" s="753"/>
      <c r="ITM1" s="753"/>
      <c r="ITN1" s="753"/>
      <c r="ITO1" s="753"/>
      <c r="ITP1" s="753"/>
      <c r="ITQ1" s="753"/>
      <c r="ITR1" s="753"/>
      <c r="ITS1" s="753"/>
      <c r="ITT1" s="753"/>
      <c r="ITU1" s="753"/>
      <c r="ITV1" s="753"/>
      <c r="ITW1" s="753"/>
      <c r="ITX1" s="753"/>
      <c r="ITY1" s="753"/>
      <c r="ITZ1" s="753"/>
      <c r="IUA1" s="753"/>
      <c r="IUB1" s="753"/>
      <c r="IUC1" s="753"/>
      <c r="IUD1" s="753"/>
      <c r="IUE1" s="753"/>
      <c r="IUF1" s="753"/>
      <c r="IUG1" s="753"/>
      <c r="IUH1" s="753"/>
      <c r="IUI1" s="753"/>
      <c r="IUJ1" s="753"/>
      <c r="IUK1" s="753"/>
      <c r="IUL1" s="753"/>
      <c r="IUM1" s="753"/>
      <c r="IUN1" s="753"/>
      <c r="IUO1" s="753"/>
      <c r="IUP1" s="753"/>
      <c r="IUQ1" s="753"/>
      <c r="IUR1" s="753"/>
      <c r="IUS1" s="753"/>
      <c r="IUT1" s="753"/>
      <c r="IUU1" s="753"/>
      <c r="IUV1" s="753"/>
      <c r="IUW1" s="753"/>
      <c r="IUX1" s="753"/>
      <c r="IUY1" s="753"/>
      <c r="IUZ1" s="753"/>
      <c r="IVA1" s="753"/>
      <c r="IVB1" s="753"/>
      <c r="IVC1" s="753"/>
      <c r="IVD1" s="753"/>
      <c r="IVE1" s="753"/>
      <c r="IVF1" s="753"/>
      <c r="IVG1" s="753"/>
      <c r="IVH1" s="753"/>
      <c r="IVI1" s="753"/>
      <c r="IVJ1" s="753"/>
      <c r="IVK1" s="753"/>
      <c r="IVL1" s="753"/>
      <c r="IVM1" s="753"/>
      <c r="IVN1" s="753"/>
      <c r="IVO1" s="753"/>
      <c r="IVP1" s="753"/>
      <c r="IVQ1" s="753"/>
      <c r="IVR1" s="753"/>
      <c r="IVS1" s="753"/>
      <c r="IVT1" s="753"/>
      <c r="IVU1" s="753"/>
      <c r="IVV1" s="753"/>
      <c r="IVW1" s="753"/>
      <c r="IVX1" s="753"/>
      <c r="IVY1" s="753"/>
      <c r="IVZ1" s="753"/>
      <c r="IWA1" s="753"/>
      <c r="IWB1" s="753"/>
      <c r="IWC1" s="753"/>
      <c r="IWD1" s="753"/>
      <c r="IWE1" s="753"/>
      <c r="IWF1" s="753"/>
      <c r="IWG1" s="753"/>
      <c r="IWH1" s="753"/>
      <c r="IWI1" s="753"/>
      <c r="IWJ1" s="753"/>
      <c r="IWK1" s="753"/>
      <c r="IWL1" s="753"/>
      <c r="IWM1" s="753"/>
      <c r="IWN1" s="753"/>
      <c r="IWO1" s="753"/>
      <c r="IWP1" s="753"/>
      <c r="IWQ1" s="753"/>
      <c r="IWR1" s="753"/>
      <c r="IWS1" s="753"/>
      <c r="IWT1" s="753"/>
      <c r="IWU1" s="753"/>
      <c r="IWV1" s="753"/>
      <c r="IWW1" s="753"/>
      <c r="IWX1" s="753"/>
      <c r="IWY1" s="753"/>
      <c r="IWZ1" s="753"/>
      <c r="IXA1" s="753"/>
      <c r="IXB1" s="753"/>
      <c r="IXC1" s="753"/>
      <c r="IXD1" s="753"/>
      <c r="IXE1" s="753"/>
      <c r="IXF1" s="753"/>
      <c r="IXG1" s="753"/>
      <c r="IXH1" s="753"/>
      <c r="IXI1" s="753"/>
      <c r="IXJ1" s="753"/>
      <c r="IXK1" s="753"/>
      <c r="IXL1" s="753"/>
      <c r="IXM1" s="753"/>
      <c r="IXN1" s="753"/>
      <c r="IXO1" s="753"/>
      <c r="IXP1" s="753"/>
      <c r="IXQ1" s="753"/>
      <c r="IXR1" s="753"/>
      <c r="IXS1" s="753"/>
      <c r="IXT1" s="753"/>
      <c r="IXU1" s="753"/>
      <c r="IXV1" s="753"/>
      <c r="IXW1" s="753"/>
      <c r="IXX1" s="753"/>
      <c r="IXY1" s="753"/>
      <c r="IXZ1" s="753"/>
      <c r="IYA1" s="753"/>
      <c r="IYB1" s="753"/>
      <c r="IYC1" s="753"/>
      <c r="IYD1" s="753"/>
      <c r="IYE1" s="753"/>
      <c r="IYF1" s="753"/>
      <c r="IYG1" s="753"/>
      <c r="IYH1" s="753"/>
      <c r="IYI1" s="753"/>
      <c r="IYJ1" s="753"/>
      <c r="IYK1" s="753"/>
      <c r="IYL1" s="753"/>
      <c r="IYM1" s="753"/>
      <c r="IYN1" s="753"/>
      <c r="IYO1" s="753"/>
      <c r="IYP1" s="753"/>
      <c r="IYQ1" s="753"/>
      <c r="IYR1" s="753"/>
      <c r="IYS1" s="753"/>
      <c r="IYT1" s="753"/>
      <c r="IYU1" s="753"/>
      <c r="IYV1" s="753"/>
      <c r="IYW1" s="753"/>
      <c r="IYX1" s="753"/>
      <c r="IYY1" s="753"/>
      <c r="IYZ1" s="753"/>
      <c r="IZA1" s="753"/>
      <c r="IZB1" s="753"/>
      <c r="IZC1" s="753"/>
      <c r="IZD1" s="753"/>
      <c r="IZE1" s="753"/>
      <c r="IZF1" s="753"/>
      <c r="IZG1" s="753"/>
      <c r="IZH1" s="753"/>
      <c r="IZI1" s="753"/>
      <c r="IZJ1" s="753"/>
      <c r="IZK1" s="753"/>
      <c r="IZL1" s="753"/>
      <c r="IZM1" s="753"/>
      <c r="IZN1" s="753"/>
      <c r="IZO1" s="753"/>
      <c r="IZP1" s="753"/>
      <c r="IZQ1" s="753"/>
      <c r="IZR1" s="753"/>
      <c r="IZS1" s="753"/>
      <c r="IZT1" s="753"/>
      <c r="IZU1" s="753"/>
      <c r="IZV1" s="753"/>
      <c r="IZW1" s="753"/>
      <c r="IZX1" s="753"/>
      <c r="IZY1" s="753"/>
      <c r="IZZ1" s="753"/>
      <c r="JAA1" s="753"/>
      <c r="JAB1" s="753"/>
      <c r="JAC1" s="753"/>
      <c r="JAD1" s="753"/>
      <c r="JAE1" s="753"/>
      <c r="JAF1" s="753"/>
      <c r="JAG1" s="753"/>
      <c r="JAH1" s="753"/>
      <c r="JAI1" s="753"/>
      <c r="JAJ1" s="753"/>
      <c r="JAK1" s="753"/>
      <c r="JAL1" s="753"/>
      <c r="JAM1" s="753"/>
      <c r="JAN1" s="753"/>
      <c r="JAO1" s="753"/>
      <c r="JAP1" s="753"/>
      <c r="JAQ1" s="753"/>
      <c r="JAR1" s="753"/>
      <c r="JAS1" s="753"/>
      <c r="JAT1" s="753"/>
      <c r="JAU1" s="753"/>
      <c r="JAV1" s="753"/>
      <c r="JAW1" s="753"/>
      <c r="JAX1" s="753"/>
      <c r="JAY1" s="753"/>
      <c r="JAZ1" s="753"/>
      <c r="JBA1" s="753"/>
      <c r="JBB1" s="753"/>
      <c r="JBC1" s="753"/>
      <c r="JBD1" s="753"/>
      <c r="JBE1" s="753"/>
      <c r="JBF1" s="753"/>
      <c r="JBG1" s="753"/>
      <c r="JBH1" s="753"/>
      <c r="JBI1" s="753"/>
      <c r="JBJ1" s="753"/>
      <c r="JBK1" s="753"/>
      <c r="JBL1" s="753"/>
      <c r="JBM1" s="753"/>
      <c r="JBN1" s="753"/>
      <c r="JBO1" s="753"/>
      <c r="JBP1" s="753"/>
      <c r="JBQ1" s="753"/>
      <c r="JBR1" s="753"/>
      <c r="JBS1" s="753"/>
      <c r="JBT1" s="753"/>
      <c r="JBU1" s="753"/>
      <c r="JBV1" s="753"/>
      <c r="JBW1" s="753"/>
      <c r="JBX1" s="753"/>
      <c r="JBY1" s="753"/>
      <c r="JBZ1" s="753"/>
      <c r="JCA1" s="753"/>
      <c r="JCB1" s="753"/>
      <c r="JCC1" s="753"/>
      <c r="JCD1" s="753"/>
      <c r="JCE1" s="753"/>
      <c r="JCF1" s="753"/>
      <c r="JCG1" s="753"/>
      <c r="JCH1" s="753"/>
      <c r="JCI1" s="753"/>
      <c r="JCJ1" s="753"/>
      <c r="JCK1" s="753"/>
      <c r="JCL1" s="753"/>
      <c r="JCM1" s="753"/>
      <c r="JCN1" s="753"/>
      <c r="JCO1" s="753"/>
      <c r="JCP1" s="753"/>
      <c r="JCQ1" s="753"/>
      <c r="JCR1" s="753"/>
      <c r="JCS1" s="753"/>
      <c r="JCT1" s="753"/>
      <c r="JCU1" s="753"/>
      <c r="JCV1" s="753"/>
      <c r="JCW1" s="753"/>
      <c r="JCX1" s="753"/>
      <c r="JCY1" s="753"/>
      <c r="JCZ1" s="753"/>
      <c r="JDA1" s="753"/>
      <c r="JDB1" s="753"/>
      <c r="JDC1" s="753"/>
      <c r="JDD1" s="753"/>
      <c r="JDE1" s="753"/>
      <c r="JDF1" s="753"/>
      <c r="JDG1" s="753"/>
      <c r="JDH1" s="753"/>
      <c r="JDI1" s="753"/>
      <c r="JDJ1" s="753"/>
      <c r="JDK1" s="753"/>
      <c r="JDL1" s="753"/>
      <c r="JDM1" s="753"/>
      <c r="JDN1" s="753"/>
      <c r="JDO1" s="753"/>
      <c r="JDP1" s="753"/>
      <c r="JDQ1" s="753"/>
      <c r="JDR1" s="753"/>
      <c r="JDS1" s="753"/>
      <c r="JDT1" s="753"/>
      <c r="JDU1" s="753"/>
      <c r="JDV1" s="753"/>
      <c r="JDW1" s="753"/>
      <c r="JDX1" s="753"/>
      <c r="JDY1" s="753"/>
      <c r="JDZ1" s="753"/>
      <c r="JEA1" s="753"/>
      <c r="JEB1" s="753"/>
      <c r="JEC1" s="753"/>
      <c r="JED1" s="753"/>
      <c r="JEE1" s="753"/>
      <c r="JEF1" s="753"/>
      <c r="JEG1" s="753"/>
      <c r="JEH1" s="753"/>
      <c r="JEI1" s="753"/>
      <c r="JEJ1" s="753"/>
      <c r="JEK1" s="753"/>
      <c r="JEL1" s="753"/>
      <c r="JEM1" s="753"/>
      <c r="JEN1" s="753"/>
      <c r="JEO1" s="753"/>
      <c r="JEP1" s="753"/>
      <c r="JEQ1" s="753"/>
      <c r="JER1" s="753"/>
      <c r="JES1" s="753"/>
      <c r="JET1" s="753"/>
      <c r="JEU1" s="753"/>
      <c r="JEV1" s="753"/>
      <c r="JEW1" s="753"/>
      <c r="JEX1" s="753"/>
      <c r="JEY1" s="753"/>
      <c r="JEZ1" s="753"/>
      <c r="JFA1" s="753"/>
      <c r="JFB1" s="753"/>
      <c r="JFC1" s="753"/>
      <c r="JFD1" s="753"/>
      <c r="JFE1" s="753"/>
      <c r="JFF1" s="753"/>
      <c r="JFG1" s="753"/>
      <c r="JFH1" s="753"/>
      <c r="JFI1" s="753"/>
      <c r="JFJ1" s="753"/>
      <c r="JFK1" s="753"/>
      <c r="JFL1" s="753"/>
      <c r="JFM1" s="753"/>
      <c r="JFN1" s="753"/>
      <c r="JFO1" s="753"/>
      <c r="JFP1" s="753"/>
      <c r="JFQ1" s="753"/>
      <c r="JFR1" s="753"/>
      <c r="JFS1" s="753"/>
      <c r="JFT1" s="753"/>
      <c r="JFU1" s="753"/>
      <c r="JFV1" s="753"/>
      <c r="JFW1" s="753"/>
      <c r="JFX1" s="753"/>
      <c r="JFY1" s="753"/>
      <c r="JFZ1" s="753"/>
      <c r="JGA1" s="753"/>
      <c r="JGB1" s="753"/>
      <c r="JGC1" s="753"/>
      <c r="JGD1" s="753"/>
      <c r="JGE1" s="753"/>
      <c r="JGF1" s="753"/>
      <c r="JGG1" s="753"/>
      <c r="JGH1" s="753"/>
      <c r="JGI1" s="753"/>
      <c r="JGJ1" s="753"/>
      <c r="JGK1" s="753"/>
      <c r="JGL1" s="753"/>
      <c r="JGM1" s="753"/>
      <c r="JGN1" s="753"/>
      <c r="JGO1" s="753"/>
      <c r="JGP1" s="753"/>
      <c r="JGQ1" s="753"/>
      <c r="JGR1" s="753"/>
      <c r="JGS1" s="753"/>
      <c r="JGT1" s="753"/>
      <c r="JGU1" s="753"/>
      <c r="JGV1" s="753"/>
      <c r="JGW1" s="753"/>
      <c r="JGX1" s="753"/>
      <c r="JGY1" s="753"/>
      <c r="JGZ1" s="753"/>
      <c r="JHA1" s="753"/>
      <c r="JHB1" s="753"/>
      <c r="JHC1" s="753"/>
      <c r="JHD1" s="753"/>
      <c r="JHE1" s="753"/>
      <c r="JHF1" s="753"/>
      <c r="JHG1" s="753"/>
      <c r="JHH1" s="753"/>
      <c r="JHI1" s="753"/>
      <c r="JHJ1" s="753"/>
      <c r="JHK1" s="753"/>
      <c r="JHL1" s="753"/>
      <c r="JHM1" s="753"/>
      <c r="JHN1" s="753"/>
      <c r="JHO1" s="753"/>
      <c r="JHP1" s="753"/>
      <c r="JHQ1" s="753"/>
      <c r="JHR1" s="753"/>
      <c r="JHS1" s="753"/>
      <c r="JHT1" s="753"/>
      <c r="JHU1" s="753"/>
      <c r="JHV1" s="753"/>
      <c r="JHW1" s="753"/>
      <c r="JHX1" s="753"/>
      <c r="JHY1" s="753"/>
      <c r="JHZ1" s="753"/>
      <c r="JIA1" s="753"/>
      <c r="JIB1" s="753"/>
      <c r="JIC1" s="753"/>
      <c r="JID1" s="753"/>
      <c r="JIE1" s="753"/>
      <c r="JIF1" s="753"/>
      <c r="JIG1" s="753"/>
      <c r="JIH1" s="753"/>
      <c r="JII1" s="753"/>
      <c r="JIJ1" s="753"/>
      <c r="JIK1" s="753"/>
      <c r="JIL1" s="753"/>
      <c r="JIM1" s="753"/>
      <c r="JIN1" s="753"/>
      <c r="JIO1" s="753"/>
      <c r="JIP1" s="753"/>
      <c r="JIQ1" s="753"/>
      <c r="JIR1" s="753"/>
      <c r="JIS1" s="753"/>
      <c r="JIT1" s="753"/>
      <c r="JIU1" s="753"/>
      <c r="JIV1" s="753"/>
      <c r="JIW1" s="753"/>
      <c r="JIX1" s="753"/>
      <c r="JIY1" s="753"/>
      <c r="JIZ1" s="753"/>
      <c r="JJA1" s="753"/>
      <c r="JJB1" s="753"/>
      <c r="JJC1" s="753"/>
      <c r="JJD1" s="753"/>
      <c r="JJE1" s="753"/>
      <c r="JJF1" s="753"/>
      <c r="JJG1" s="753"/>
      <c r="JJH1" s="753"/>
      <c r="JJI1" s="753"/>
      <c r="JJJ1" s="753"/>
      <c r="JJK1" s="753"/>
      <c r="JJL1" s="753"/>
      <c r="JJM1" s="753"/>
      <c r="JJN1" s="753"/>
      <c r="JJO1" s="753"/>
      <c r="JJP1" s="753"/>
      <c r="JJQ1" s="753"/>
      <c r="JJR1" s="753"/>
      <c r="JJS1" s="753"/>
      <c r="JJT1" s="753"/>
      <c r="JJU1" s="753"/>
      <c r="JJV1" s="753"/>
      <c r="JJW1" s="753"/>
      <c r="JJX1" s="753"/>
      <c r="JJY1" s="753"/>
      <c r="JJZ1" s="753"/>
      <c r="JKA1" s="753"/>
      <c r="JKB1" s="753"/>
      <c r="JKC1" s="753"/>
      <c r="JKD1" s="753"/>
      <c r="JKE1" s="753"/>
      <c r="JKF1" s="753"/>
      <c r="JKG1" s="753"/>
      <c r="JKH1" s="753"/>
      <c r="JKI1" s="753"/>
      <c r="JKJ1" s="753"/>
      <c r="JKK1" s="753"/>
      <c r="JKL1" s="753"/>
      <c r="JKM1" s="753"/>
      <c r="JKN1" s="753"/>
      <c r="JKO1" s="753"/>
      <c r="JKP1" s="753"/>
      <c r="JKQ1" s="753"/>
      <c r="JKR1" s="753"/>
      <c r="JKS1" s="753"/>
      <c r="JKT1" s="753"/>
      <c r="JKU1" s="753"/>
      <c r="JKV1" s="753"/>
      <c r="JKW1" s="753"/>
      <c r="JKX1" s="753"/>
      <c r="JKY1" s="753"/>
      <c r="JKZ1" s="753"/>
      <c r="JLA1" s="753"/>
      <c r="JLB1" s="753"/>
      <c r="JLC1" s="753"/>
      <c r="JLD1" s="753"/>
      <c r="JLE1" s="753"/>
      <c r="JLF1" s="753"/>
      <c r="JLG1" s="753"/>
      <c r="JLH1" s="753"/>
      <c r="JLI1" s="753"/>
      <c r="JLJ1" s="753"/>
      <c r="JLK1" s="753"/>
      <c r="JLL1" s="753"/>
      <c r="JLM1" s="753"/>
      <c r="JLN1" s="753"/>
      <c r="JLO1" s="753"/>
      <c r="JLP1" s="753"/>
      <c r="JLQ1" s="753"/>
      <c r="JLR1" s="753"/>
      <c r="JLS1" s="753"/>
      <c r="JLT1" s="753"/>
      <c r="JLU1" s="753"/>
      <c r="JLV1" s="753"/>
      <c r="JLW1" s="753"/>
      <c r="JLX1" s="753"/>
      <c r="JLY1" s="753"/>
      <c r="JLZ1" s="753"/>
      <c r="JMA1" s="753"/>
      <c r="JMB1" s="753"/>
      <c r="JMC1" s="753"/>
      <c r="JMD1" s="753"/>
      <c r="JME1" s="753"/>
      <c r="JMF1" s="753"/>
      <c r="JMG1" s="753"/>
      <c r="JMH1" s="753"/>
      <c r="JMI1" s="753"/>
      <c r="JMJ1" s="753"/>
      <c r="JMK1" s="753"/>
      <c r="JML1" s="753"/>
      <c r="JMM1" s="753"/>
      <c r="JMN1" s="753"/>
      <c r="JMO1" s="753"/>
      <c r="JMP1" s="753"/>
      <c r="JMQ1" s="753"/>
      <c r="JMR1" s="753"/>
      <c r="JMS1" s="753"/>
      <c r="JMT1" s="753"/>
      <c r="JMU1" s="753"/>
      <c r="JMV1" s="753"/>
      <c r="JMW1" s="753"/>
      <c r="JMX1" s="753"/>
      <c r="JMY1" s="753"/>
      <c r="JMZ1" s="753"/>
      <c r="JNA1" s="753"/>
      <c r="JNB1" s="753"/>
      <c r="JNC1" s="753"/>
      <c r="JND1" s="753"/>
      <c r="JNE1" s="753"/>
      <c r="JNF1" s="753"/>
      <c r="JNG1" s="753"/>
      <c r="JNH1" s="753"/>
      <c r="JNI1" s="753"/>
      <c r="JNJ1" s="753"/>
      <c r="JNK1" s="753"/>
      <c r="JNL1" s="753"/>
      <c r="JNM1" s="753"/>
      <c r="JNN1" s="753"/>
      <c r="JNO1" s="753"/>
      <c r="JNP1" s="753"/>
      <c r="JNQ1" s="753"/>
      <c r="JNR1" s="753"/>
      <c r="JNS1" s="753"/>
      <c r="JNT1" s="753"/>
      <c r="JNU1" s="753"/>
      <c r="JNV1" s="753"/>
      <c r="JNW1" s="753"/>
      <c r="JNX1" s="753"/>
      <c r="JNY1" s="753"/>
      <c r="JNZ1" s="753"/>
      <c r="JOA1" s="753"/>
      <c r="JOB1" s="753"/>
      <c r="JOC1" s="753"/>
      <c r="JOD1" s="753"/>
      <c r="JOE1" s="753"/>
      <c r="JOF1" s="753"/>
      <c r="JOG1" s="753"/>
      <c r="JOH1" s="753"/>
      <c r="JOI1" s="753"/>
      <c r="JOJ1" s="753"/>
      <c r="JOK1" s="753"/>
      <c r="JOL1" s="753"/>
      <c r="JOM1" s="753"/>
      <c r="JON1" s="753"/>
      <c r="JOO1" s="753"/>
      <c r="JOP1" s="753"/>
      <c r="JOQ1" s="753"/>
      <c r="JOR1" s="753"/>
      <c r="JOS1" s="753"/>
      <c r="JOT1" s="753"/>
      <c r="JOU1" s="753"/>
      <c r="JOV1" s="753"/>
      <c r="JOW1" s="753"/>
      <c r="JOX1" s="753"/>
      <c r="JOY1" s="753"/>
      <c r="JOZ1" s="753"/>
      <c r="JPA1" s="753"/>
      <c r="JPB1" s="753"/>
      <c r="JPC1" s="753"/>
      <c r="JPD1" s="753"/>
      <c r="JPE1" s="753"/>
      <c r="JPF1" s="753"/>
      <c r="JPG1" s="753"/>
      <c r="JPH1" s="753"/>
      <c r="JPI1" s="753"/>
      <c r="JPJ1" s="753"/>
      <c r="JPK1" s="753"/>
      <c r="JPL1" s="753"/>
      <c r="JPM1" s="753"/>
      <c r="JPN1" s="753"/>
      <c r="JPO1" s="753"/>
      <c r="JPP1" s="753"/>
      <c r="JPQ1" s="753"/>
      <c r="JPR1" s="753"/>
      <c r="JPS1" s="753"/>
      <c r="JPT1" s="753"/>
      <c r="JPU1" s="753"/>
      <c r="JPV1" s="753"/>
      <c r="JPW1" s="753"/>
      <c r="JPX1" s="753"/>
      <c r="JPY1" s="753"/>
      <c r="JPZ1" s="753"/>
      <c r="JQA1" s="753"/>
      <c r="JQB1" s="753"/>
      <c r="JQC1" s="753"/>
      <c r="JQD1" s="753"/>
      <c r="JQE1" s="753"/>
      <c r="JQF1" s="753"/>
      <c r="JQG1" s="753"/>
      <c r="JQH1" s="753"/>
      <c r="JQI1" s="753"/>
      <c r="JQJ1" s="753"/>
      <c r="JQK1" s="753"/>
      <c r="JQL1" s="753"/>
      <c r="JQM1" s="753"/>
      <c r="JQN1" s="753"/>
      <c r="JQO1" s="753"/>
      <c r="JQP1" s="753"/>
      <c r="JQQ1" s="753"/>
      <c r="JQR1" s="753"/>
      <c r="JQS1" s="753"/>
      <c r="JQT1" s="753"/>
      <c r="JQU1" s="753"/>
      <c r="JQV1" s="753"/>
      <c r="JQW1" s="753"/>
      <c r="JQX1" s="753"/>
      <c r="JQY1" s="753"/>
      <c r="JQZ1" s="753"/>
      <c r="JRA1" s="753"/>
      <c r="JRB1" s="753"/>
      <c r="JRC1" s="753"/>
      <c r="JRD1" s="753"/>
      <c r="JRE1" s="753"/>
      <c r="JRF1" s="753"/>
      <c r="JRG1" s="753"/>
      <c r="JRH1" s="753"/>
      <c r="JRI1" s="753"/>
      <c r="JRJ1" s="753"/>
      <c r="JRK1" s="753"/>
      <c r="JRL1" s="753"/>
      <c r="JRM1" s="753"/>
      <c r="JRN1" s="753"/>
      <c r="JRO1" s="753"/>
      <c r="JRP1" s="753"/>
      <c r="JRQ1" s="753"/>
      <c r="JRR1" s="753"/>
      <c r="JRS1" s="753"/>
      <c r="JRT1" s="753"/>
      <c r="JRU1" s="753"/>
      <c r="JRV1" s="753"/>
      <c r="JRW1" s="753"/>
      <c r="JRX1" s="753"/>
      <c r="JRY1" s="753"/>
      <c r="JRZ1" s="753"/>
      <c r="JSA1" s="753"/>
      <c r="JSB1" s="753"/>
      <c r="JSC1" s="753"/>
      <c r="JSD1" s="753"/>
      <c r="JSE1" s="753"/>
      <c r="JSF1" s="753"/>
      <c r="JSG1" s="753"/>
      <c r="JSH1" s="753"/>
      <c r="JSI1" s="753"/>
      <c r="JSJ1" s="753"/>
      <c r="JSK1" s="753"/>
      <c r="JSL1" s="753"/>
      <c r="JSM1" s="753"/>
      <c r="JSN1" s="753"/>
      <c r="JSO1" s="753"/>
      <c r="JSP1" s="753"/>
      <c r="JSQ1" s="753"/>
      <c r="JSR1" s="753"/>
      <c r="JSS1" s="753"/>
      <c r="JST1" s="753"/>
      <c r="JSU1" s="753"/>
      <c r="JSV1" s="753"/>
      <c r="JSW1" s="753"/>
      <c r="JSX1" s="753"/>
      <c r="JSY1" s="753"/>
      <c r="JSZ1" s="753"/>
      <c r="JTA1" s="753"/>
      <c r="JTB1" s="753"/>
      <c r="JTC1" s="753"/>
      <c r="JTD1" s="753"/>
      <c r="JTE1" s="753"/>
      <c r="JTF1" s="753"/>
      <c r="JTG1" s="753"/>
      <c r="JTH1" s="753"/>
      <c r="JTI1" s="753"/>
      <c r="JTJ1" s="753"/>
      <c r="JTK1" s="753"/>
      <c r="JTL1" s="753"/>
      <c r="JTM1" s="753"/>
      <c r="JTN1" s="753"/>
      <c r="JTO1" s="753"/>
      <c r="JTP1" s="753"/>
      <c r="JTQ1" s="753"/>
      <c r="JTR1" s="753"/>
      <c r="JTS1" s="753"/>
      <c r="JTT1" s="753"/>
      <c r="JTU1" s="753"/>
      <c r="JTV1" s="753"/>
      <c r="JTW1" s="753"/>
      <c r="JTX1" s="753"/>
      <c r="JTY1" s="753"/>
      <c r="JTZ1" s="753"/>
      <c r="JUA1" s="753"/>
      <c r="JUB1" s="753"/>
      <c r="JUC1" s="753"/>
      <c r="JUD1" s="753"/>
      <c r="JUE1" s="753"/>
      <c r="JUF1" s="753"/>
      <c r="JUG1" s="753"/>
      <c r="JUH1" s="753"/>
      <c r="JUI1" s="753"/>
      <c r="JUJ1" s="753"/>
      <c r="JUK1" s="753"/>
      <c r="JUL1" s="753"/>
      <c r="JUM1" s="753"/>
      <c r="JUN1" s="753"/>
      <c r="JUO1" s="753"/>
      <c r="JUP1" s="753"/>
      <c r="JUQ1" s="753"/>
      <c r="JUR1" s="753"/>
      <c r="JUS1" s="753"/>
      <c r="JUT1" s="753"/>
      <c r="JUU1" s="753"/>
      <c r="JUV1" s="753"/>
      <c r="JUW1" s="753"/>
      <c r="JUX1" s="753"/>
      <c r="JUY1" s="753"/>
      <c r="JUZ1" s="753"/>
      <c r="JVA1" s="753"/>
      <c r="JVB1" s="753"/>
      <c r="JVC1" s="753"/>
      <c r="JVD1" s="753"/>
      <c r="JVE1" s="753"/>
      <c r="JVF1" s="753"/>
      <c r="JVG1" s="753"/>
      <c r="JVH1" s="753"/>
      <c r="JVI1" s="753"/>
      <c r="JVJ1" s="753"/>
      <c r="JVK1" s="753"/>
      <c r="JVL1" s="753"/>
      <c r="JVM1" s="753"/>
      <c r="JVN1" s="753"/>
      <c r="JVO1" s="753"/>
      <c r="JVP1" s="753"/>
      <c r="JVQ1" s="753"/>
      <c r="JVR1" s="753"/>
      <c r="JVS1" s="753"/>
      <c r="JVT1" s="753"/>
      <c r="JVU1" s="753"/>
      <c r="JVV1" s="753"/>
      <c r="JVW1" s="753"/>
      <c r="JVX1" s="753"/>
      <c r="JVY1" s="753"/>
      <c r="JVZ1" s="753"/>
      <c r="JWA1" s="753"/>
      <c r="JWB1" s="753"/>
      <c r="JWC1" s="753"/>
      <c r="JWD1" s="753"/>
      <c r="JWE1" s="753"/>
      <c r="JWF1" s="753"/>
      <c r="JWG1" s="753"/>
      <c r="JWH1" s="753"/>
      <c r="JWI1" s="753"/>
      <c r="JWJ1" s="753"/>
      <c r="JWK1" s="753"/>
      <c r="JWL1" s="753"/>
      <c r="JWM1" s="753"/>
      <c r="JWN1" s="753"/>
      <c r="JWO1" s="753"/>
      <c r="JWP1" s="753"/>
      <c r="JWQ1" s="753"/>
      <c r="JWR1" s="753"/>
      <c r="JWS1" s="753"/>
      <c r="JWT1" s="753"/>
      <c r="JWU1" s="753"/>
      <c r="JWV1" s="753"/>
      <c r="JWW1" s="753"/>
      <c r="JWX1" s="753"/>
      <c r="JWY1" s="753"/>
      <c r="JWZ1" s="753"/>
      <c r="JXA1" s="753"/>
      <c r="JXB1" s="753"/>
      <c r="JXC1" s="753"/>
      <c r="JXD1" s="753"/>
      <c r="JXE1" s="753"/>
      <c r="JXF1" s="753"/>
      <c r="JXG1" s="753"/>
      <c r="JXH1" s="753"/>
      <c r="JXI1" s="753"/>
      <c r="JXJ1" s="753"/>
      <c r="JXK1" s="753"/>
      <c r="JXL1" s="753"/>
      <c r="JXM1" s="753"/>
      <c r="JXN1" s="753"/>
      <c r="JXO1" s="753"/>
      <c r="JXP1" s="753"/>
      <c r="JXQ1" s="753"/>
      <c r="JXR1" s="753"/>
      <c r="JXS1" s="753"/>
      <c r="JXT1" s="753"/>
      <c r="JXU1" s="753"/>
      <c r="JXV1" s="753"/>
      <c r="JXW1" s="753"/>
      <c r="JXX1" s="753"/>
      <c r="JXY1" s="753"/>
      <c r="JXZ1" s="753"/>
      <c r="JYA1" s="753"/>
      <c r="JYB1" s="753"/>
      <c r="JYC1" s="753"/>
      <c r="JYD1" s="753"/>
      <c r="JYE1" s="753"/>
      <c r="JYF1" s="753"/>
      <c r="JYG1" s="753"/>
      <c r="JYH1" s="753"/>
      <c r="JYI1" s="753"/>
      <c r="JYJ1" s="753"/>
      <c r="JYK1" s="753"/>
      <c r="JYL1" s="753"/>
      <c r="JYM1" s="753"/>
      <c r="JYN1" s="753"/>
      <c r="JYO1" s="753"/>
      <c r="JYP1" s="753"/>
      <c r="JYQ1" s="753"/>
      <c r="JYR1" s="753"/>
      <c r="JYS1" s="753"/>
      <c r="JYT1" s="753"/>
      <c r="JYU1" s="753"/>
      <c r="JYV1" s="753"/>
      <c r="JYW1" s="753"/>
      <c r="JYX1" s="753"/>
      <c r="JYY1" s="753"/>
      <c r="JYZ1" s="753"/>
      <c r="JZA1" s="753"/>
      <c r="JZB1" s="753"/>
      <c r="JZC1" s="753"/>
      <c r="JZD1" s="753"/>
      <c r="JZE1" s="753"/>
      <c r="JZF1" s="753"/>
      <c r="JZG1" s="753"/>
      <c r="JZH1" s="753"/>
      <c r="JZI1" s="753"/>
      <c r="JZJ1" s="753"/>
      <c r="JZK1" s="753"/>
      <c r="JZL1" s="753"/>
      <c r="JZM1" s="753"/>
      <c r="JZN1" s="753"/>
      <c r="JZO1" s="753"/>
      <c r="JZP1" s="753"/>
      <c r="JZQ1" s="753"/>
      <c r="JZR1" s="753"/>
      <c r="JZS1" s="753"/>
      <c r="JZT1" s="753"/>
      <c r="JZU1" s="753"/>
      <c r="JZV1" s="753"/>
      <c r="JZW1" s="753"/>
      <c r="JZX1" s="753"/>
      <c r="JZY1" s="753"/>
      <c r="JZZ1" s="753"/>
      <c r="KAA1" s="753"/>
      <c r="KAB1" s="753"/>
      <c r="KAC1" s="753"/>
      <c r="KAD1" s="753"/>
      <c r="KAE1" s="753"/>
      <c r="KAF1" s="753"/>
      <c r="KAG1" s="753"/>
      <c r="KAH1" s="753"/>
      <c r="KAI1" s="753"/>
      <c r="KAJ1" s="753"/>
      <c r="KAK1" s="753"/>
      <c r="KAL1" s="753"/>
      <c r="KAM1" s="753"/>
      <c r="KAN1" s="753"/>
      <c r="KAO1" s="753"/>
      <c r="KAP1" s="753"/>
      <c r="KAQ1" s="753"/>
      <c r="KAR1" s="753"/>
      <c r="KAS1" s="753"/>
      <c r="KAT1" s="753"/>
      <c r="KAU1" s="753"/>
      <c r="KAV1" s="753"/>
      <c r="KAW1" s="753"/>
      <c r="KAX1" s="753"/>
      <c r="KAY1" s="753"/>
      <c r="KAZ1" s="753"/>
      <c r="KBA1" s="753"/>
      <c r="KBB1" s="753"/>
      <c r="KBC1" s="753"/>
      <c r="KBD1" s="753"/>
      <c r="KBE1" s="753"/>
      <c r="KBF1" s="753"/>
      <c r="KBG1" s="753"/>
      <c r="KBH1" s="753"/>
      <c r="KBI1" s="753"/>
      <c r="KBJ1" s="753"/>
      <c r="KBK1" s="753"/>
      <c r="KBL1" s="753"/>
      <c r="KBM1" s="753"/>
      <c r="KBN1" s="753"/>
      <c r="KBO1" s="753"/>
      <c r="KBP1" s="753"/>
      <c r="KBQ1" s="753"/>
      <c r="KBR1" s="753"/>
      <c r="KBS1" s="753"/>
      <c r="KBT1" s="753"/>
      <c r="KBU1" s="753"/>
      <c r="KBV1" s="753"/>
      <c r="KBW1" s="753"/>
      <c r="KBX1" s="753"/>
      <c r="KBY1" s="753"/>
      <c r="KBZ1" s="753"/>
      <c r="KCA1" s="753"/>
      <c r="KCB1" s="753"/>
      <c r="KCC1" s="753"/>
      <c r="KCD1" s="753"/>
      <c r="KCE1" s="753"/>
      <c r="KCF1" s="753"/>
      <c r="KCG1" s="753"/>
      <c r="KCH1" s="753"/>
      <c r="KCI1" s="753"/>
      <c r="KCJ1" s="753"/>
      <c r="KCK1" s="753"/>
      <c r="KCL1" s="753"/>
      <c r="KCM1" s="753"/>
      <c r="KCN1" s="753"/>
      <c r="KCO1" s="753"/>
      <c r="KCP1" s="753"/>
      <c r="KCQ1" s="753"/>
      <c r="KCR1" s="753"/>
      <c r="KCS1" s="753"/>
      <c r="KCT1" s="753"/>
      <c r="KCU1" s="753"/>
      <c r="KCV1" s="753"/>
      <c r="KCW1" s="753"/>
      <c r="KCX1" s="753"/>
      <c r="KCY1" s="753"/>
      <c r="KCZ1" s="753"/>
      <c r="KDA1" s="753"/>
      <c r="KDB1" s="753"/>
      <c r="KDC1" s="753"/>
      <c r="KDD1" s="753"/>
      <c r="KDE1" s="753"/>
      <c r="KDF1" s="753"/>
      <c r="KDG1" s="753"/>
      <c r="KDH1" s="753"/>
      <c r="KDI1" s="753"/>
      <c r="KDJ1" s="753"/>
      <c r="KDK1" s="753"/>
      <c r="KDL1" s="753"/>
      <c r="KDM1" s="753"/>
      <c r="KDN1" s="753"/>
      <c r="KDO1" s="753"/>
      <c r="KDP1" s="753"/>
      <c r="KDQ1" s="753"/>
      <c r="KDR1" s="753"/>
      <c r="KDS1" s="753"/>
      <c r="KDT1" s="753"/>
      <c r="KDU1" s="753"/>
      <c r="KDV1" s="753"/>
      <c r="KDW1" s="753"/>
      <c r="KDX1" s="753"/>
      <c r="KDY1" s="753"/>
      <c r="KDZ1" s="753"/>
      <c r="KEA1" s="753"/>
      <c r="KEB1" s="753"/>
      <c r="KEC1" s="753"/>
      <c r="KED1" s="753"/>
      <c r="KEE1" s="753"/>
      <c r="KEF1" s="753"/>
      <c r="KEG1" s="753"/>
      <c r="KEH1" s="753"/>
      <c r="KEI1" s="753"/>
      <c r="KEJ1" s="753"/>
      <c r="KEK1" s="753"/>
      <c r="KEL1" s="753"/>
      <c r="KEM1" s="753"/>
      <c r="KEN1" s="753"/>
      <c r="KEO1" s="753"/>
      <c r="KEP1" s="753"/>
      <c r="KEQ1" s="753"/>
      <c r="KER1" s="753"/>
      <c r="KES1" s="753"/>
      <c r="KET1" s="753"/>
      <c r="KEU1" s="753"/>
      <c r="KEV1" s="753"/>
      <c r="KEW1" s="753"/>
      <c r="KEX1" s="753"/>
      <c r="KEY1" s="753"/>
      <c r="KEZ1" s="753"/>
      <c r="KFA1" s="753"/>
      <c r="KFB1" s="753"/>
      <c r="KFC1" s="753"/>
      <c r="KFD1" s="753"/>
      <c r="KFE1" s="753"/>
      <c r="KFF1" s="753"/>
      <c r="KFG1" s="753"/>
      <c r="KFH1" s="753"/>
      <c r="KFI1" s="753"/>
      <c r="KFJ1" s="753"/>
      <c r="KFK1" s="753"/>
      <c r="KFL1" s="753"/>
      <c r="KFM1" s="753"/>
      <c r="KFN1" s="753"/>
      <c r="KFO1" s="753"/>
      <c r="KFP1" s="753"/>
      <c r="KFQ1" s="753"/>
      <c r="KFR1" s="753"/>
      <c r="KFS1" s="753"/>
      <c r="KFT1" s="753"/>
      <c r="KFU1" s="753"/>
      <c r="KFV1" s="753"/>
      <c r="KFW1" s="753"/>
      <c r="KFX1" s="753"/>
      <c r="KFY1" s="753"/>
      <c r="KFZ1" s="753"/>
      <c r="KGA1" s="753"/>
      <c r="KGB1" s="753"/>
      <c r="KGC1" s="753"/>
      <c r="KGD1" s="753"/>
      <c r="KGE1" s="753"/>
      <c r="KGF1" s="753"/>
      <c r="KGG1" s="753"/>
      <c r="KGH1" s="753"/>
      <c r="KGI1" s="753"/>
      <c r="KGJ1" s="753"/>
      <c r="KGK1" s="753"/>
      <c r="KGL1" s="753"/>
      <c r="KGM1" s="753"/>
      <c r="KGN1" s="753"/>
      <c r="KGO1" s="753"/>
      <c r="KGP1" s="753"/>
      <c r="KGQ1" s="753"/>
      <c r="KGR1" s="753"/>
      <c r="KGS1" s="753"/>
      <c r="KGT1" s="753"/>
      <c r="KGU1" s="753"/>
      <c r="KGV1" s="753"/>
      <c r="KGW1" s="753"/>
      <c r="KGX1" s="753"/>
      <c r="KGY1" s="753"/>
      <c r="KGZ1" s="753"/>
      <c r="KHA1" s="753"/>
      <c r="KHB1" s="753"/>
      <c r="KHC1" s="753"/>
      <c r="KHD1" s="753"/>
      <c r="KHE1" s="753"/>
      <c r="KHF1" s="753"/>
      <c r="KHG1" s="753"/>
      <c r="KHH1" s="753"/>
      <c r="KHI1" s="753"/>
      <c r="KHJ1" s="753"/>
      <c r="KHK1" s="753"/>
      <c r="KHL1" s="753"/>
      <c r="KHM1" s="753"/>
      <c r="KHN1" s="753"/>
      <c r="KHO1" s="753"/>
      <c r="KHP1" s="753"/>
      <c r="KHQ1" s="753"/>
      <c r="KHR1" s="753"/>
      <c r="KHS1" s="753"/>
      <c r="KHT1" s="753"/>
      <c r="KHU1" s="753"/>
      <c r="KHV1" s="753"/>
      <c r="KHW1" s="753"/>
      <c r="KHX1" s="753"/>
      <c r="KHY1" s="753"/>
      <c r="KHZ1" s="753"/>
      <c r="KIA1" s="753"/>
      <c r="KIB1" s="753"/>
      <c r="KIC1" s="753"/>
      <c r="KID1" s="753"/>
      <c r="KIE1" s="753"/>
      <c r="KIF1" s="753"/>
      <c r="KIG1" s="753"/>
      <c r="KIH1" s="753"/>
      <c r="KII1" s="753"/>
      <c r="KIJ1" s="753"/>
      <c r="KIK1" s="753"/>
      <c r="KIL1" s="753"/>
      <c r="KIM1" s="753"/>
      <c r="KIN1" s="753"/>
      <c r="KIO1" s="753"/>
      <c r="KIP1" s="753"/>
      <c r="KIQ1" s="753"/>
      <c r="KIR1" s="753"/>
      <c r="KIS1" s="753"/>
      <c r="KIT1" s="753"/>
      <c r="KIU1" s="753"/>
      <c r="KIV1" s="753"/>
      <c r="KIW1" s="753"/>
      <c r="KIX1" s="753"/>
      <c r="KIY1" s="753"/>
      <c r="KIZ1" s="753"/>
      <c r="KJA1" s="753"/>
      <c r="KJB1" s="753"/>
      <c r="KJC1" s="753"/>
      <c r="KJD1" s="753"/>
      <c r="KJE1" s="753"/>
      <c r="KJF1" s="753"/>
      <c r="KJG1" s="753"/>
      <c r="KJH1" s="753"/>
      <c r="KJI1" s="753"/>
      <c r="KJJ1" s="753"/>
      <c r="KJK1" s="753"/>
      <c r="KJL1" s="753"/>
      <c r="KJM1" s="753"/>
      <c r="KJN1" s="753"/>
      <c r="KJO1" s="753"/>
      <c r="KJP1" s="753"/>
      <c r="KJQ1" s="753"/>
      <c r="KJR1" s="753"/>
      <c r="KJS1" s="753"/>
      <c r="KJT1" s="753"/>
      <c r="KJU1" s="753"/>
      <c r="KJV1" s="753"/>
      <c r="KJW1" s="753"/>
      <c r="KJX1" s="753"/>
      <c r="KJY1" s="753"/>
      <c r="KJZ1" s="753"/>
      <c r="KKA1" s="753"/>
      <c r="KKB1" s="753"/>
      <c r="KKC1" s="753"/>
      <c r="KKD1" s="753"/>
      <c r="KKE1" s="753"/>
      <c r="KKF1" s="753"/>
      <c r="KKG1" s="753"/>
      <c r="KKH1" s="753"/>
      <c r="KKI1" s="753"/>
      <c r="KKJ1" s="753"/>
      <c r="KKK1" s="753"/>
      <c r="KKL1" s="753"/>
      <c r="KKM1" s="753"/>
      <c r="KKN1" s="753"/>
      <c r="KKO1" s="753"/>
      <c r="KKP1" s="753"/>
      <c r="KKQ1" s="753"/>
      <c r="KKR1" s="753"/>
      <c r="KKS1" s="753"/>
      <c r="KKT1" s="753"/>
      <c r="KKU1" s="753"/>
      <c r="KKV1" s="753"/>
      <c r="KKW1" s="753"/>
      <c r="KKX1" s="753"/>
      <c r="KKY1" s="753"/>
      <c r="KKZ1" s="753"/>
      <c r="KLA1" s="753"/>
      <c r="KLB1" s="753"/>
      <c r="KLC1" s="753"/>
      <c r="KLD1" s="753"/>
      <c r="KLE1" s="753"/>
      <c r="KLF1" s="753"/>
      <c r="KLG1" s="753"/>
      <c r="KLH1" s="753"/>
      <c r="KLI1" s="753"/>
      <c r="KLJ1" s="753"/>
      <c r="KLK1" s="753"/>
      <c r="KLL1" s="753"/>
      <c r="KLM1" s="753"/>
      <c r="KLN1" s="753"/>
      <c r="KLO1" s="753"/>
      <c r="KLP1" s="753"/>
      <c r="KLQ1" s="753"/>
      <c r="KLR1" s="753"/>
      <c r="KLS1" s="753"/>
      <c r="KLT1" s="753"/>
      <c r="KLU1" s="753"/>
      <c r="KLV1" s="753"/>
      <c r="KLW1" s="753"/>
      <c r="KLX1" s="753"/>
      <c r="KLY1" s="753"/>
      <c r="KLZ1" s="753"/>
      <c r="KMA1" s="753"/>
      <c r="KMB1" s="753"/>
      <c r="KMC1" s="753"/>
      <c r="KMD1" s="753"/>
      <c r="KME1" s="753"/>
      <c r="KMF1" s="753"/>
      <c r="KMG1" s="753"/>
      <c r="KMH1" s="753"/>
      <c r="KMI1" s="753"/>
      <c r="KMJ1" s="753"/>
      <c r="KMK1" s="753"/>
      <c r="KML1" s="753"/>
      <c r="KMM1" s="753"/>
      <c r="KMN1" s="753"/>
      <c r="KMO1" s="753"/>
      <c r="KMP1" s="753"/>
      <c r="KMQ1" s="753"/>
      <c r="KMR1" s="753"/>
      <c r="KMS1" s="753"/>
      <c r="KMT1" s="753"/>
      <c r="KMU1" s="753"/>
      <c r="KMV1" s="753"/>
      <c r="KMW1" s="753"/>
      <c r="KMX1" s="753"/>
      <c r="KMY1" s="753"/>
      <c r="KMZ1" s="753"/>
      <c r="KNA1" s="753"/>
      <c r="KNB1" s="753"/>
      <c r="KNC1" s="753"/>
      <c r="KND1" s="753"/>
      <c r="KNE1" s="753"/>
      <c r="KNF1" s="753"/>
      <c r="KNG1" s="753"/>
      <c r="KNH1" s="753"/>
      <c r="KNI1" s="753"/>
      <c r="KNJ1" s="753"/>
      <c r="KNK1" s="753"/>
      <c r="KNL1" s="753"/>
      <c r="KNM1" s="753"/>
      <c r="KNN1" s="753"/>
      <c r="KNO1" s="753"/>
      <c r="KNP1" s="753"/>
      <c r="KNQ1" s="753"/>
      <c r="KNR1" s="753"/>
      <c r="KNS1" s="753"/>
      <c r="KNT1" s="753"/>
      <c r="KNU1" s="753"/>
      <c r="KNV1" s="753"/>
      <c r="KNW1" s="753"/>
      <c r="KNX1" s="753"/>
      <c r="KNY1" s="753"/>
      <c r="KNZ1" s="753"/>
      <c r="KOA1" s="753"/>
      <c r="KOB1" s="753"/>
      <c r="KOC1" s="753"/>
      <c r="KOD1" s="753"/>
      <c r="KOE1" s="753"/>
      <c r="KOF1" s="753"/>
      <c r="KOG1" s="753"/>
      <c r="KOH1" s="753"/>
      <c r="KOI1" s="753"/>
      <c r="KOJ1" s="753"/>
      <c r="KOK1" s="753"/>
      <c r="KOL1" s="753"/>
      <c r="KOM1" s="753"/>
      <c r="KON1" s="753"/>
      <c r="KOO1" s="753"/>
      <c r="KOP1" s="753"/>
      <c r="KOQ1" s="753"/>
      <c r="KOR1" s="753"/>
      <c r="KOS1" s="753"/>
      <c r="KOT1" s="753"/>
      <c r="KOU1" s="753"/>
      <c r="KOV1" s="753"/>
      <c r="KOW1" s="753"/>
      <c r="KOX1" s="753"/>
      <c r="KOY1" s="753"/>
      <c r="KOZ1" s="753"/>
      <c r="KPA1" s="753"/>
      <c r="KPB1" s="753"/>
      <c r="KPC1" s="753"/>
      <c r="KPD1" s="753"/>
      <c r="KPE1" s="753"/>
      <c r="KPF1" s="753"/>
      <c r="KPG1" s="753"/>
      <c r="KPH1" s="753"/>
      <c r="KPI1" s="753"/>
      <c r="KPJ1" s="753"/>
      <c r="KPK1" s="753"/>
      <c r="KPL1" s="753"/>
      <c r="KPM1" s="753"/>
      <c r="KPN1" s="753"/>
      <c r="KPO1" s="753"/>
      <c r="KPP1" s="753"/>
      <c r="KPQ1" s="753"/>
      <c r="KPR1" s="753"/>
      <c r="KPS1" s="753"/>
      <c r="KPT1" s="753"/>
      <c r="KPU1" s="753"/>
      <c r="KPV1" s="753"/>
      <c r="KPW1" s="753"/>
      <c r="KPX1" s="753"/>
      <c r="KPY1" s="753"/>
      <c r="KPZ1" s="753"/>
      <c r="KQA1" s="753"/>
      <c r="KQB1" s="753"/>
      <c r="KQC1" s="753"/>
      <c r="KQD1" s="753"/>
      <c r="KQE1" s="753"/>
      <c r="KQF1" s="753"/>
      <c r="KQG1" s="753"/>
      <c r="KQH1" s="753"/>
      <c r="KQI1" s="753"/>
      <c r="KQJ1" s="753"/>
      <c r="KQK1" s="753"/>
      <c r="KQL1" s="753"/>
      <c r="KQM1" s="753"/>
      <c r="KQN1" s="753"/>
      <c r="KQO1" s="753"/>
      <c r="KQP1" s="753"/>
      <c r="KQQ1" s="753"/>
      <c r="KQR1" s="753"/>
      <c r="KQS1" s="753"/>
      <c r="KQT1" s="753"/>
      <c r="KQU1" s="753"/>
      <c r="KQV1" s="753"/>
      <c r="KQW1" s="753"/>
      <c r="KQX1" s="753"/>
      <c r="KQY1" s="753"/>
      <c r="KQZ1" s="753"/>
      <c r="KRA1" s="753"/>
      <c r="KRB1" s="753"/>
      <c r="KRC1" s="753"/>
      <c r="KRD1" s="753"/>
      <c r="KRE1" s="753"/>
      <c r="KRF1" s="753"/>
      <c r="KRG1" s="753"/>
      <c r="KRH1" s="753"/>
      <c r="KRI1" s="753"/>
      <c r="KRJ1" s="753"/>
      <c r="KRK1" s="753"/>
      <c r="KRL1" s="753"/>
      <c r="KRM1" s="753"/>
      <c r="KRN1" s="753"/>
      <c r="KRO1" s="753"/>
      <c r="KRP1" s="753"/>
      <c r="KRQ1" s="753"/>
      <c r="KRR1" s="753"/>
      <c r="KRS1" s="753"/>
      <c r="KRT1" s="753"/>
      <c r="KRU1" s="753"/>
      <c r="KRV1" s="753"/>
      <c r="KRW1" s="753"/>
      <c r="KRX1" s="753"/>
      <c r="KRY1" s="753"/>
      <c r="KRZ1" s="753"/>
      <c r="KSA1" s="753"/>
      <c r="KSB1" s="753"/>
      <c r="KSC1" s="753"/>
      <c r="KSD1" s="753"/>
      <c r="KSE1" s="753"/>
      <c r="KSF1" s="753"/>
      <c r="KSG1" s="753"/>
      <c r="KSH1" s="753"/>
      <c r="KSI1" s="753"/>
      <c r="KSJ1" s="753"/>
      <c r="KSK1" s="753"/>
      <c r="KSL1" s="753"/>
      <c r="KSM1" s="753"/>
      <c r="KSN1" s="753"/>
      <c r="KSO1" s="753"/>
      <c r="KSP1" s="753"/>
      <c r="KSQ1" s="753"/>
      <c r="KSR1" s="753"/>
      <c r="KSS1" s="753"/>
      <c r="KST1" s="753"/>
      <c r="KSU1" s="753"/>
      <c r="KSV1" s="753"/>
      <c r="KSW1" s="753"/>
      <c r="KSX1" s="753"/>
      <c r="KSY1" s="753"/>
      <c r="KSZ1" s="753"/>
      <c r="KTA1" s="753"/>
      <c r="KTB1" s="753"/>
      <c r="KTC1" s="753"/>
      <c r="KTD1" s="753"/>
      <c r="KTE1" s="753"/>
      <c r="KTF1" s="753"/>
      <c r="KTG1" s="753"/>
      <c r="KTH1" s="753"/>
      <c r="KTI1" s="753"/>
      <c r="KTJ1" s="753"/>
      <c r="KTK1" s="753"/>
      <c r="KTL1" s="753"/>
      <c r="KTM1" s="753"/>
      <c r="KTN1" s="753"/>
      <c r="KTO1" s="753"/>
      <c r="KTP1" s="753"/>
      <c r="KTQ1" s="753"/>
      <c r="KTR1" s="753"/>
      <c r="KTS1" s="753"/>
      <c r="KTT1" s="753"/>
      <c r="KTU1" s="753"/>
      <c r="KTV1" s="753"/>
      <c r="KTW1" s="753"/>
      <c r="KTX1" s="753"/>
      <c r="KTY1" s="753"/>
      <c r="KTZ1" s="753"/>
      <c r="KUA1" s="753"/>
      <c r="KUB1" s="753"/>
      <c r="KUC1" s="753"/>
      <c r="KUD1" s="753"/>
      <c r="KUE1" s="753"/>
      <c r="KUF1" s="753"/>
      <c r="KUG1" s="753"/>
      <c r="KUH1" s="753"/>
      <c r="KUI1" s="753"/>
      <c r="KUJ1" s="753"/>
      <c r="KUK1" s="753"/>
      <c r="KUL1" s="753"/>
      <c r="KUM1" s="753"/>
      <c r="KUN1" s="753"/>
      <c r="KUO1" s="753"/>
      <c r="KUP1" s="753"/>
      <c r="KUQ1" s="753"/>
      <c r="KUR1" s="753"/>
      <c r="KUS1" s="753"/>
      <c r="KUT1" s="753"/>
      <c r="KUU1" s="753"/>
      <c r="KUV1" s="753"/>
      <c r="KUW1" s="753"/>
      <c r="KUX1" s="753"/>
      <c r="KUY1" s="753"/>
      <c r="KUZ1" s="753"/>
      <c r="KVA1" s="753"/>
      <c r="KVB1" s="753"/>
      <c r="KVC1" s="753"/>
      <c r="KVD1" s="753"/>
      <c r="KVE1" s="753"/>
      <c r="KVF1" s="753"/>
      <c r="KVG1" s="753"/>
      <c r="KVH1" s="753"/>
      <c r="KVI1" s="753"/>
      <c r="KVJ1" s="753"/>
      <c r="KVK1" s="753"/>
      <c r="KVL1" s="753"/>
      <c r="KVM1" s="753"/>
      <c r="KVN1" s="753"/>
      <c r="KVO1" s="753"/>
      <c r="KVP1" s="753"/>
      <c r="KVQ1" s="753"/>
      <c r="KVR1" s="753"/>
      <c r="KVS1" s="753"/>
      <c r="KVT1" s="753"/>
      <c r="KVU1" s="753"/>
      <c r="KVV1" s="753"/>
      <c r="KVW1" s="753"/>
      <c r="KVX1" s="753"/>
      <c r="KVY1" s="753"/>
      <c r="KVZ1" s="753"/>
      <c r="KWA1" s="753"/>
      <c r="KWB1" s="753"/>
      <c r="KWC1" s="753"/>
      <c r="KWD1" s="753"/>
      <c r="KWE1" s="753"/>
      <c r="KWF1" s="753"/>
      <c r="KWG1" s="753"/>
      <c r="KWH1" s="753"/>
      <c r="KWI1" s="753"/>
      <c r="KWJ1" s="753"/>
      <c r="KWK1" s="753"/>
      <c r="KWL1" s="753"/>
      <c r="KWM1" s="753"/>
      <c r="KWN1" s="753"/>
      <c r="KWO1" s="753"/>
      <c r="KWP1" s="753"/>
      <c r="KWQ1" s="753"/>
      <c r="KWR1" s="753"/>
      <c r="KWS1" s="753"/>
      <c r="KWT1" s="753"/>
      <c r="KWU1" s="753"/>
      <c r="KWV1" s="753"/>
      <c r="KWW1" s="753"/>
      <c r="KWX1" s="753"/>
      <c r="KWY1" s="753"/>
      <c r="KWZ1" s="753"/>
      <c r="KXA1" s="753"/>
      <c r="KXB1" s="753"/>
      <c r="KXC1" s="753"/>
      <c r="KXD1" s="753"/>
      <c r="KXE1" s="753"/>
      <c r="KXF1" s="753"/>
      <c r="KXG1" s="753"/>
      <c r="KXH1" s="753"/>
      <c r="KXI1" s="753"/>
      <c r="KXJ1" s="753"/>
      <c r="KXK1" s="753"/>
      <c r="KXL1" s="753"/>
      <c r="KXM1" s="753"/>
      <c r="KXN1" s="753"/>
      <c r="KXO1" s="753"/>
      <c r="KXP1" s="753"/>
      <c r="KXQ1" s="753"/>
      <c r="KXR1" s="753"/>
      <c r="KXS1" s="753"/>
      <c r="KXT1" s="753"/>
      <c r="KXU1" s="753"/>
      <c r="KXV1" s="753"/>
      <c r="KXW1" s="753"/>
      <c r="KXX1" s="753"/>
      <c r="KXY1" s="753"/>
      <c r="KXZ1" s="753"/>
      <c r="KYA1" s="753"/>
      <c r="KYB1" s="753"/>
      <c r="KYC1" s="753"/>
      <c r="KYD1" s="753"/>
      <c r="KYE1" s="753"/>
      <c r="KYF1" s="753"/>
      <c r="KYG1" s="753"/>
      <c r="KYH1" s="753"/>
      <c r="KYI1" s="753"/>
      <c r="KYJ1" s="753"/>
      <c r="KYK1" s="753"/>
      <c r="KYL1" s="753"/>
      <c r="KYM1" s="753"/>
      <c r="KYN1" s="753"/>
      <c r="KYO1" s="753"/>
      <c r="KYP1" s="753"/>
      <c r="KYQ1" s="753"/>
      <c r="KYR1" s="753"/>
      <c r="KYS1" s="753"/>
      <c r="KYT1" s="753"/>
      <c r="KYU1" s="753"/>
      <c r="KYV1" s="753"/>
      <c r="KYW1" s="753"/>
      <c r="KYX1" s="753"/>
      <c r="KYY1" s="753"/>
      <c r="KYZ1" s="753"/>
      <c r="KZA1" s="753"/>
      <c r="KZB1" s="753"/>
      <c r="KZC1" s="753"/>
      <c r="KZD1" s="753"/>
      <c r="KZE1" s="753"/>
      <c r="KZF1" s="753"/>
      <c r="KZG1" s="753"/>
      <c r="KZH1" s="753"/>
      <c r="KZI1" s="753"/>
      <c r="KZJ1" s="753"/>
      <c r="KZK1" s="753"/>
      <c r="KZL1" s="753"/>
      <c r="KZM1" s="753"/>
      <c r="KZN1" s="753"/>
      <c r="KZO1" s="753"/>
      <c r="KZP1" s="753"/>
      <c r="KZQ1" s="753"/>
      <c r="KZR1" s="753"/>
      <c r="KZS1" s="753"/>
      <c r="KZT1" s="753"/>
      <c r="KZU1" s="753"/>
      <c r="KZV1" s="753"/>
      <c r="KZW1" s="753"/>
      <c r="KZX1" s="753"/>
      <c r="KZY1" s="753"/>
      <c r="KZZ1" s="753"/>
      <c r="LAA1" s="753"/>
      <c r="LAB1" s="753"/>
      <c r="LAC1" s="753"/>
      <c r="LAD1" s="753"/>
      <c r="LAE1" s="753"/>
      <c r="LAF1" s="753"/>
      <c r="LAG1" s="753"/>
      <c r="LAH1" s="753"/>
      <c r="LAI1" s="753"/>
      <c r="LAJ1" s="753"/>
      <c r="LAK1" s="753"/>
      <c r="LAL1" s="753"/>
      <c r="LAM1" s="753"/>
      <c r="LAN1" s="753"/>
      <c r="LAO1" s="753"/>
      <c r="LAP1" s="753"/>
      <c r="LAQ1" s="753"/>
      <c r="LAR1" s="753"/>
      <c r="LAS1" s="753"/>
      <c r="LAT1" s="753"/>
      <c r="LAU1" s="753"/>
      <c r="LAV1" s="753"/>
      <c r="LAW1" s="753"/>
      <c r="LAX1" s="753"/>
      <c r="LAY1" s="753"/>
      <c r="LAZ1" s="753"/>
      <c r="LBA1" s="753"/>
      <c r="LBB1" s="753"/>
      <c r="LBC1" s="753"/>
      <c r="LBD1" s="753"/>
      <c r="LBE1" s="753"/>
      <c r="LBF1" s="753"/>
      <c r="LBG1" s="753"/>
      <c r="LBH1" s="753"/>
      <c r="LBI1" s="753"/>
      <c r="LBJ1" s="753"/>
      <c r="LBK1" s="753"/>
      <c r="LBL1" s="753"/>
      <c r="LBM1" s="753"/>
      <c r="LBN1" s="753"/>
      <c r="LBO1" s="753"/>
      <c r="LBP1" s="753"/>
      <c r="LBQ1" s="753"/>
      <c r="LBR1" s="753"/>
      <c r="LBS1" s="753"/>
      <c r="LBT1" s="753"/>
      <c r="LBU1" s="753"/>
      <c r="LBV1" s="753"/>
      <c r="LBW1" s="753"/>
      <c r="LBX1" s="753"/>
      <c r="LBY1" s="753"/>
      <c r="LBZ1" s="753"/>
      <c r="LCA1" s="753"/>
      <c r="LCB1" s="753"/>
      <c r="LCC1" s="753"/>
      <c r="LCD1" s="753"/>
      <c r="LCE1" s="753"/>
      <c r="LCF1" s="753"/>
      <c r="LCG1" s="753"/>
      <c r="LCH1" s="753"/>
      <c r="LCI1" s="753"/>
      <c r="LCJ1" s="753"/>
      <c r="LCK1" s="753"/>
      <c r="LCL1" s="753"/>
      <c r="LCM1" s="753"/>
      <c r="LCN1" s="753"/>
      <c r="LCO1" s="753"/>
      <c r="LCP1" s="753"/>
      <c r="LCQ1" s="753"/>
      <c r="LCR1" s="753"/>
      <c r="LCS1" s="753"/>
      <c r="LCT1" s="753"/>
      <c r="LCU1" s="753"/>
      <c r="LCV1" s="753"/>
      <c r="LCW1" s="753"/>
      <c r="LCX1" s="753"/>
      <c r="LCY1" s="753"/>
      <c r="LCZ1" s="753"/>
      <c r="LDA1" s="753"/>
      <c r="LDB1" s="753"/>
      <c r="LDC1" s="753"/>
      <c r="LDD1" s="753"/>
      <c r="LDE1" s="753"/>
      <c r="LDF1" s="753"/>
      <c r="LDG1" s="753"/>
      <c r="LDH1" s="753"/>
      <c r="LDI1" s="753"/>
      <c r="LDJ1" s="753"/>
      <c r="LDK1" s="753"/>
      <c r="LDL1" s="753"/>
      <c r="LDM1" s="753"/>
      <c r="LDN1" s="753"/>
      <c r="LDO1" s="753"/>
      <c r="LDP1" s="753"/>
      <c r="LDQ1" s="753"/>
      <c r="LDR1" s="753"/>
      <c r="LDS1" s="753"/>
      <c r="LDT1" s="753"/>
      <c r="LDU1" s="753"/>
      <c r="LDV1" s="753"/>
      <c r="LDW1" s="753"/>
      <c r="LDX1" s="753"/>
      <c r="LDY1" s="753"/>
      <c r="LDZ1" s="753"/>
      <c r="LEA1" s="753"/>
      <c r="LEB1" s="753"/>
      <c r="LEC1" s="753"/>
      <c r="LED1" s="753"/>
      <c r="LEE1" s="753"/>
      <c r="LEF1" s="753"/>
      <c r="LEG1" s="753"/>
      <c r="LEH1" s="753"/>
      <c r="LEI1" s="753"/>
      <c r="LEJ1" s="753"/>
      <c r="LEK1" s="753"/>
      <c r="LEL1" s="753"/>
      <c r="LEM1" s="753"/>
      <c r="LEN1" s="753"/>
      <c r="LEO1" s="753"/>
      <c r="LEP1" s="753"/>
      <c r="LEQ1" s="753"/>
      <c r="LER1" s="753"/>
      <c r="LES1" s="753"/>
      <c r="LET1" s="753"/>
      <c r="LEU1" s="753"/>
      <c r="LEV1" s="753"/>
      <c r="LEW1" s="753"/>
      <c r="LEX1" s="753"/>
      <c r="LEY1" s="753"/>
      <c r="LEZ1" s="753"/>
      <c r="LFA1" s="753"/>
      <c r="LFB1" s="753"/>
      <c r="LFC1" s="753"/>
      <c r="LFD1" s="753"/>
      <c r="LFE1" s="753"/>
      <c r="LFF1" s="753"/>
      <c r="LFG1" s="753"/>
      <c r="LFH1" s="753"/>
      <c r="LFI1" s="753"/>
      <c r="LFJ1" s="753"/>
      <c r="LFK1" s="753"/>
      <c r="LFL1" s="753"/>
      <c r="LFM1" s="753"/>
      <c r="LFN1" s="753"/>
      <c r="LFO1" s="753"/>
      <c r="LFP1" s="753"/>
      <c r="LFQ1" s="753"/>
      <c r="LFR1" s="753"/>
      <c r="LFS1" s="753"/>
      <c r="LFT1" s="753"/>
      <c r="LFU1" s="753"/>
      <c r="LFV1" s="753"/>
      <c r="LFW1" s="753"/>
      <c r="LFX1" s="753"/>
      <c r="LFY1" s="753"/>
      <c r="LFZ1" s="753"/>
      <c r="LGA1" s="753"/>
      <c r="LGB1" s="753"/>
      <c r="LGC1" s="753"/>
      <c r="LGD1" s="753"/>
      <c r="LGE1" s="753"/>
      <c r="LGF1" s="753"/>
      <c r="LGG1" s="753"/>
      <c r="LGH1" s="753"/>
      <c r="LGI1" s="753"/>
      <c r="LGJ1" s="753"/>
      <c r="LGK1" s="753"/>
      <c r="LGL1" s="753"/>
      <c r="LGM1" s="753"/>
      <c r="LGN1" s="753"/>
      <c r="LGO1" s="753"/>
      <c r="LGP1" s="753"/>
      <c r="LGQ1" s="753"/>
      <c r="LGR1" s="753"/>
      <c r="LGS1" s="753"/>
      <c r="LGT1" s="753"/>
      <c r="LGU1" s="753"/>
      <c r="LGV1" s="753"/>
      <c r="LGW1" s="753"/>
      <c r="LGX1" s="753"/>
      <c r="LGY1" s="753"/>
      <c r="LGZ1" s="753"/>
      <c r="LHA1" s="753"/>
      <c r="LHB1" s="753"/>
      <c r="LHC1" s="753"/>
      <c r="LHD1" s="753"/>
      <c r="LHE1" s="753"/>
      <c r="LHF1" s="753"/>
      <c r="LHG1" s="753"/>
      <c r="LHH1" s="753"/>
      <c r="LHI1" s="753"/>
      <c r="LHJ1" s="753"/>
      <c r="LHK1" s="753"/>
      <c r="LHL1" s="753"/>
      <c r="LHM1" s="753"/>
      <c r="LHN1" s="753"/>
      <c r="LHO1" s="753"/>
      <c r="LHP1" s="753"/>
      <c r="LHQ1" s="753"/>
      <c r="LHR1" s="753"/>
      <c r="LHS1" s="753"/>
      <c r="LHT1" s="753"/>
      <c r="LHU1" s="753"/>
      <c r="LHV1" s="753"/>
      <c r="LHW1" s="753"/>
      <c r="LHX1" s="753"/>
      <c r="LHY1" s="753"/>
      <c r="LHZ1" s="753"/>
      <c r="LIA1" s="753"/>
      <c r="LIB1" s="753"/>
      <c r="LIC1" s="753"/>
      <c r="LID1" s="753"/>
      <c r="LIE1" s="753"/>
      <c r="LIF1" s="753"/>
      <c r="LIG1" s="753"/>
      <c r="LIH1" s="753"/>
      <c r="LII1" s="753"/>
      <c r="LIJ1" s="753"/>
      <c r="LIK1" s="753"/>
      <c r="LIL1" s="753"/>
      <c r="LIM1" s="753"/>
      <c r="LIN1" s="753"/>
      <c r="LIO1" s="753"/>
      <c r="LIP1" s="753"/>
      <c r="LIQ1" s="753"/>
      <c r="LIR1" s="753"/>
      <c r="LIS1" s="753"/>
      <c r="LIT1" s="753"/>
      <c r="LIU1" s="753"/>
      <c r="LIV1" s="753"/>
      <c r="LIW1" s="753"/>
      <c r="LIX1" s="753"/>
      <c r="LIY1" s="753"/>
      <c r="LIZ1" s="753"/>
      <c r="LJA1" s="753"/>
      <c r="LJB1" s="753"/>
      <c r="LJC1" s="753"/>
      <c r="LJD1" s="753"/>
      <c r="LJE1" s="753"/>
      <c r="LJF1" s="753"/>
      <c r="LJG1" s="753"/>
      <c r="LJH1" s="753"/>
      <c r="LJI1" s="753"/>
      <c r="LJJ1" s="753"/>
      <c r="LJK1" s="753"/>
      <c r="LJL1" s="753"/>
      <c r="LJM1" s="753"/>
      <c r="LJN1" s="753"/>
      <c r="LJO1" s="753"/>
      <c r="LJP1" s="753"/>
      <c r="LJQ1" s="753"/>
      <c r="LJR1" s="753"/>
      <c r="LJS1" s="753"/>
      <c r="LJT1" s="753"/>
      <c r="LJU1" s="753"/>
      <c r="LJV1" s="753"/>
      <c r="LJW1" s="753"/>
      <c r="LJX1" s="753"/>
      <c r="LJY1" s="753"/>
      <c r="LJZ1" s="753"/>
      <c r="LKA1" s="753"/>
      <c r="LKB1" s="753"/>
      <c r="LKC1" s="753"/>
      <c r="LKD1" s="753"/>
      <c r="LKE1" s="753"/>
      <c r="LKF1" s="753"/>
      <c r="LKG1" s="753"/>
      <c r="LKH1" s="753"/>
      <c r="LKI1" s="753"/>
      <c r="LKJ1" s="753"/>
      <c r="LKK1" s="753"/>
      <c r="LKL1" s="753"/>
      <c r="LKM1" s="753"/>
      <c r="LKN1" s="753"/>
      <c r="LKO1" s="753"/>
      <c r="LKP1" s="753"/>
      <c r="LKQ1" s="753"/>
      <c r="LKR1" s="753"/>
      <c r="LKS1" s="753"/>
      <c r="LKT1" s="753"/>
      <c r="LKU1" s="753"/>
      <c r="LKV1" s="753"/>
      <c r="LKW1" s="753"/>
      <c r="LKX1" s="753"/>
      <c r="LKY1" s="753"/>
      <c r="LKZ1" s="753"/>
      <c r="LLA1" s="753"/>
      <c r="LLB1" s="753"/>
      <c r="LLC1" s="753"/>
      <c r="LLD1" s="753"/>
      <c r="LLE1" s="753"/>
      <c r="LLF1" s="753"/>
      <c r="LLG1" s="753"/>
      <c r="LLH1" s="753"/>
      <c r="LLI1" s="753"/>
      <c r="LLJ1" s="753"/>
      <c r="LLK1" s="753"/>
      <c r="LLL1" s="753"/>
      <c r="LLM1" s="753"/>
      <c r="LLN1" s="753"/>
      <c r="LLO1" s="753"/>
      <c r="LLP1" s="753"/>
      <c r="LLQ1" s="753"/>
      <c r="LLR1" s="753"/>
      <c r="LLS1" s="753"/>
      <c r="LLT1" s="753"/>
      <c r="LLU1" s="753"/>
      <c r="LLV1" s="753"/>
      <c r="LLW1" s="753"/>
      <c r="LLX1" s="753"/>
      <c r="LLY1" s="753"/>
      <c r="LLZ1" s="753"/>
      <c r="LMA1" s="753"/>
      <c r="LMB1" s="753"/>
      <c r="LMC1" s="753"/>
      <c r="LMD1" s="753"/>
      <c r="LME1" s="753"/>
      <c r="LMF1" s="753"/>
      <c r="LMG1" s="753"/>
      <c r="LMH1" s="753"/>
      <c r="LMI1" s="753"/>
      <c r="LMJ1" s="753"/>
      <c r="LMK1" s="753"/>
      <c r="LML1" s="753"/>
      <c r="LMM1" s="753"/>
      <c r="LMN1" s="753"/>
      <c r="LMO1" s="753"/>
      <c r="LMP1" s="753"/>
      <c r="LMQ1" s="753"/>
      <c r="LMR1" s="753"/>
      <c r="LMS1" s="753"/>
      <c r="LMT1" s="753"/>
      <c r="LMU1" s="753"/>
      <c r="LMV1" s="753"/>
      <c r="LMW1" s="753"/>
      <c r="LMX1" s="753"/>
      <c r="LMY1" s="753"/>
      <c r="LMZ1" s="753"/>
      <c r="LNA1" s="753"/>
      <c r="LNB1" s="753"/>
      <c r="LNC1" s="753"/>
      <c r="LND1" s="753"/>
      <c r="LNE1" s="753"/>
      <c r="LNF1" s="753"/>
      <c r="LNG1" s="753"/>
      <c r="LNH1" s="753"/>
      <c r="LNI1" s="753"/>
      <c r="LNJ1" s="753"/>
      <c r="LNK1" s="753"/>
      <c r="LNL1" s="753"/>
      <c r="LNM1" s="753"/>
      <c r="LNN1" s="753"/>
      <c r="LNO1" s="753"/>
      <c r="LNP1" s="753"/>
      <c r="LNQ1" s="753"/>
      <c r="LNR1" s="753"/>
      <c r="LNS1" s="753"/>
      <c r="LNT1" s="753"/>
      <c r="LNU1" s="753"/>
      <c r="LNV1" s="753"/>
      <c r="LNW1" s="753"/>
      <c r="LNX1" s="753"/>
      <c r="LNY1" s="753"/>
      <c r="LNZ1" s="753"/>
      <c r="LOA1" s="753"/>
      <c r="LOB1" s="753"/>
      <c r="LOC1" s="753"/>
      <c r="LOD1" s="753"/>
      <c r="LOE1" s="753"/>
      <c r="LOF1" s="753"/>
      <c r="LOG1" s="753"/>
      <c r="LOH1" s="753"/>
      <c r="LOI1" s="753"/>
      <c r="LOJ1" s="753"/>
      <c r="LOK1" s="753"/>
      <c r="LOL1" s="753"/>
      <c r="LOM1" s="753"/>
      <c r="LON1" s="753"/>
      <c r="LOO1" s="753"/>
      <c r="LOP1" s="753"/>
      <c r="LOQ1" s="753"/>
      <c r="LOR1" s="753"/>
      <c r="LOS1" s="753"/>
      <c r="LOT1" s="753"/>
      <c r="LOU1" s="753"/>
      <c r="LOV1" s="753"/>
      <c r="LOW1" s="753"/>
      <c r="LOX1" s="753"/>
      <c r="LOY1" s="753"/>
      <c r="LOZ1" s="753"/>
      <c r="LPA1" s="753"/>
      <c r="LPB1" s="753"/>
      <c r="LPC1" s="753"/>
      <c r="LPD1" s="753"/>
      <c r="LPE1" s="753"/>
      <c r="LPF1" s="753"/>
      <c r="LPG1" s="753"/>
      <c r="LPH1" s="753"/>
      <c r="LPI1" s="753"/>
      <c r="LPJ1" s="753"/>
      <c r="LPK1" s="753"/>
      <c r="LPL1" s="753"/>
      <c r="LPM1" s="753"/>
      <c r="LPN1" s="753"/>
      <c r="LPO1" s="753"/>
      <c r="LPP1" s="753"/>
      <c r="LPQ1" s="753"/>
      <c r="LPR1" s="753"/>
      <c r="LPS1" s="753"/>
      <c r="LPT1" s="753"/>
      <c r="LPU1" s="753"/>
      <c r="LPV1" s="753"/>
      <c r="LPW1" s="753"/>
      <c r="LPX1" s="753"/>
      <c r="LPY1" s="753"/>
      <c r="LPZ1" s="753"/>
      <c r="LQA1" s="753"/>
      <c r="LQB1" s="753"/>
      <c r="LQC1" s="753"/>
      <c r="LQD1" s="753"/>
      <c r="LQE1" s="753"/>
      <c r="LQF1" s="753"/>
      <c r="LQG1" s="753"/>
      <c r="LQH1" s="753"/>
      <c r="LQI1" s="753"/>
      <c r="LQJ1" s="753"/>
      <c r="LQK1" s="753"/>
      <c r="LQL1" s="753"/>
      <c r="LQM1" s="753"/>
      <c r="LQN1" s="753"/>
      <c r="LQO1" s="753"/>
      <c r="LQP1" s="753"/>
      <c r="LQQ1" s="753"/>
      <c r="LQR1" s="753"/>
      <c r="LQS1" s="753"/>
      <c r="LQT1" s="753"/>
      <c r="LQU1" s="753"/>
      <c r="LQV1" s="753"/>
      <c r="LQW1" s="753"/>
      <c r="LQX1" s="753"/>
      <c r="LQY1" s="753"/>
      <c r="LQZ1" s="753"/>
      <c r="LRA1" s="753"/>
      <c r="LRB1" s="753"/>
      <c r="LRC1" s="753"/>
      <c r="LRD1" s="753"/>
      <c r="LRE1" s="753"/>
      <c r="LRF1" s="753"/>
      <c r="LRG1" s="753"/>
      <c r="LRH1" s="753"/>
      <c r="LRI1" s="753"/>
      <c r="LRJ1" s="753"/>
      <c r="LRK1" s="753"/>
      <c r="LRL1" s="753"/>
      <c r="LRM1" s="753"/>
      <c r="LRN1" s="753"/>
      <c r="LRO1" s="753"/>
      <c r="LRP1" s="753"/>
      <c r="LRQ1" s="753"/>
      <c r="LRR1" s="753"/>
      <c r="LRS1" s="753"/>
      <c r="LRT1" s="753"/>
      <c r="LRU1" s="753"/>
      <c r="LRV1" s="753"/>
      <c r="LRW1" s="753"/>
      <c r="LRX1" s="753"/>
      <c r="LRY1" s="753"/>
      <c r="LRZ1" s="753"/>
      <c r="LSA1" s="753"/>
      <c r="LSB1" s="753"/>
      <c r="LSC1" s="753"/>
      <c r="LSD1" s="753"/>
      <c r="LSE1" s="753"/>
      <c r="LSF1" s="753"/>
      <c r="LSG1" s="753"/>
      <c r="LSH1" s="753"/>
      <c r="LSI1" s="753"/>
      <c r="LSJ1" s="753"/>
      <c r="LSK1" s="753"/>
      <c r="LSL1" s="753"/>
      <c r="LSM1" s="753"/>
      <c r="LSN1" s="753"/>
      <c r="LSO1" s="753"/>
      <c r="LSP1" s="753"/>
      <c r="LSQ1" s="753"/>
      <c r="LSR1" s="753"/>
      <c r="LSS1" s="753"/>
      <c r="LST1" s="753"/>
      <c r="LSU1" s="753"/>
      <c r="LSV1" s="753"/>
      <c r="LSW1" s="753"/>
      <c r="LSX1" s="753"/>
      <c r="LSY1" s="753"/>
      <c r="LSZ1" s="753"/>
      <c r="LTA1" s="753"/>
      <c r="LTB1" s="753"/>
      <c r="LTC1" s="753"/>
      <c r="LTD1" s="753"/>
      <c r="LTE1" s="753"/>
      <c r="LTF1" s="753"/>
      <c r="LTG1" s="753"/>
      <c r="LTH1" s="753"/>
      <c r="LTI1" s="753"/>
      <c r="LTJ1" s="753"/>
      <c r="LTK1" s="753"/>
      <c r="LTL1" s="753"/>
      <c r="LTM1" s="753"/>
      <c r="LTN1" s="753"/>
      <c r="LTO1" s="753"/>
      <c r="LTP1" s="753"/>
      <c r="LTQ1" s="753"/>
      <c r="LTR1" s="753"/>
      <c r="LTS1" s="753"/>
      <c r="LTT1" s="753"/>
      <c r="LTU1" s="753"/>
      <c r="LTV1" s="753"/>
      <c r="LTW1" s="753"/>
      <c r="LTX1" s="753"/>
      <c r="LTY1" s="753"/>
      <c r="LTZ1" s="753"/>
      <c r="LUA1" s="753"/>
      <c r="LUB1" s="753"/>
      <c r="LUC1" s="753"/>
      <c r="LUD1" s="753"/>
      <c r="LUE1" s="753"/>
      <c r="LUF1" s="753"/>
      <c r="LUG1" s="753"/>
      <c r="LUH1" s="753"/>
      <c r="LUI1" s="753"/>
      <c r="LUJ1" s="753"/>
      <c r="LUK1" s="753"/>
      <c r="LUL1" s="753"/>
      <c r="LUM1" s="753"/>
      <c r="LUN1" s="753"/>
      <c r="LUO1" s="753"/>
      <c r="LUP1" s="753"/>
      <c r="LUQ1" s="753"/>
      <c r="LUR1" s="753"/>
      <c r="LUS1" s="753"/>
      <c r="LUT1" s="753"/>
      <c r="LUU1" s="753"/>
      <c r="LUV1" s="753"/>
      <c r="LUW1" s="753"/>
      <c r="LUX1" s="753"/>
      <c r="LUY1" s="753"/>
      <c r="LUZ1" s="753"/>
      <c r="LVA1" s="753"/>
      <c r="LVB1" s="753"/>
      <c r="LVC1" s="753"/>
      <c r="LVD1" s="753"/>
      <c r="LVE1" s="753"/>
      <c r="LVF1" s="753"/>
      <c r="LVG1" s="753"/>
      <c r="LVH1" s="753"/>
      <c r="LVI1" s="753"/>
      <c r="LVJ1" s="753"/>
      <c r="LVK1" s="753"/>
      <c r="LVL1" s="753"/>
      <c r="LVM1" s="753"/>
      <c r="LVN1" s="753"/>
      <c r="LVO1" s="753"/>
      <c r="LVP1" s="753"/>
      <c r="LVQ1" s="753"/>
      <c r="LVR1" s="753"/>
      <c r="LVS1" s="753"/>
      <c r="LVT1" s="753"/>
      <c r="LVU1" s="753"/>
      <c r="LVV1" s="753"/>
      <c r="LVW1" s="753"/>
      <c r="LVX1" s="753"/>
      <c r="LVY1" s="753"/>
      <c r="LVZ1" s="753"/>
      <c r="LWA1" s="753"/>
      <c r="LWB1" s="753"/>
      <c r="LWC1" s="753"/>
      <c r="LWD1" s="753"/>
      <c r="LWE1" s="753"/>
      <c r="LWF1" s="753"/>
      <c r="LWG1" s="753"/>
      <c r="LWH1" s="753"/>
      <c r="LWI1" s="753"/>
      <c r="LWJ1" s="753"/>
      <c r="LWK1" s="753"/>
      <c r="LWL1" s="753"/>
      <c r="LWM1" s="753"/>
      <c r="LWN1" s="753"/>
      <c r="LWO1" s="753"/>
      <c r="LWP1" s="753"/>
      <c r="LWQ1" s="753"/>
      <c r="LWR1" s="753"/>
      <c r="LWS1" s="753"/>
      <c r="LWT1" s="753"/>
      <c r="LWU1" s="753"/>
      <c r="LWV1" s="753"/>
      <c r="LWW1" s="753"/>
      <c r="LWX1" s="753"/>
      <c r="LWY1" s="753"/>
      <c r="LWZ1" s="753"/>
      <c r="LXA1" s="753"/>
      <c r="LXB1" s="753"/>
      <c r="LXC1" s="753"/>
      <c r="LXD1" s="753"/>
      <c r="LXE1" s="753"/>
      <c r="LXF1" s="753"/>
      <c r="LXG1" s="753"/>
      <c r="LXH1" s="753"/>
      <c r="LXI1" s="753"/>
      <c r="LXJ1" s="753"/>
      <c r="LXK1" s="753"/>
      <c r="LXL1" s="753"/>
      <c r="LXM1" s="753"/>
      <c r="LXN1" s="753"/>
      <c r="LXO1" s="753"/>
      <c r="LXP1" s="753"/>
      <c r="LXQ1" s="753"/>
      <c r="LXR1" s="753"/>
      <c r="LXS1" s="753"/>
      <c r="LXT1" s="753"/>
      <c r="LXU1" s="753"/>
      <c r="LXV1" s="753"/>
      <c r="LXW1" s="753"/>
      <c r="LXX1" s="753"/>
      <c r="LXY1" s="753"/>
      <c r="LXZ1" s="753"/>
      <c r="LYA1" s="753"/>
      <c r="LYB1" s="753"/>
      <c r="LYC1" s="753"/>
      <c r="LYD1" s="753"/>
      <c r="LYE1" s="753"/>
      <c r="LYF1" s="753"/>
      <c r="LYG1" s="753"/>
      <c r="LYH1" s="753"/>
      <c r="LYI1" s="753"/>
      <c r="LYJ1" s="753"/>
      <c r="LYK1" s="753"/>
      <c r="LYL1" s="753"/>
      <c r="LYM1" s="753"/>
      <c r="LYN1" s="753"/>
      <c r="LYO1" s="753"/>
      <c r="LYP1" s="753"/>
      <c r="LYQ1" s="753"/>
      <c r="LYR1" s="753"/>
      <c r="LYS1" s="753"/>
      <c r="LYT1" s="753"/>
      <c r="LYU1" s="753"/>
      <c r="LYV1" s="753"/>
      <c r="LYW1" s="753"/>
      <c r="LYX1" s="753"/>
      <c r="LYY1" s="753"/>
      <c r="LYZ1" s="753"/>
      <c r="LZA1" s="753"/>
      <c r="LZB1" s="753"/>
      <c r="LZC1" s="753"/>
      <c r="LZD1" s="753"/>
      <c r="LZE1" s="753"/>
      <c r="LZF1" s="753"/>
      <c r="LZG1" s="753"/>
      <c r="LZH1" s="753"/>
      <c r="LZI1" s="753"/>
      <c r="LZJ1" s="753"/>
      <c r="LZK1" s="753"/>
      <c r="LZL1" s="753"/>
      <c r="LZM1" s="753"/>
      <c r="LZN1" s="753"/>
      <c r="LZO1" s="753"/>
      <c r="LZP1" s="753"/>
      <c r="LZQ1" s="753"/>
      <c r="LZR1" s="753"/>
      <c r="LZS1" s="753"/>
      <c r="LZT1" s="753"/>
      <c r="LZU1" s="753"/>
      <c r="LZV1" s="753"/>
      <c r="LZW1" s="753"/>
      <c r="LZX1" s="753"/>
      <c r="LZY1" s="753"/>
      <c r="LZZ1" s="753"/>
      <c r="MAA1" s="753"/>
      <c r="MAB1" s="753"/>
      <c r="MAC1" s="753"/>
      <c r="MAD1" s="753"/>
      <c r="MAE1" s="753"/>
      <c r="MAF1" s="753"/>
      <c r="MAG1" s="753"/>
      <c r="MAH1" s="753"/>
      <c r="MAI1" s="753"/>
      <c r="MAJ1" s="753"/>
      <c r="MAK1" s="753"/>
      <c r="MAL1" s="753"/>
      <c r="MAM1" s="753"/>
      <c r="MAN1" s="753"/>
      <c r="MAO1" s="753"/>
      <c r="MAP1" s="753"/>
      <c r="MAQ1" s="753"/>
      <c r="MAR1" s="753"/>
      <c r="MAS1" s="753"/>
      <c r="MAT1" s="753"/>
      <c r="MAU1" s="753"/>
      <c r="MAV1" s="753"/>
      <c r="MAW1" s="753"/>
      <c r="MAX1" s="753"/>
      <c r="MAY1" s="753"/>
      <c r="MAZ1" s="753"/>
      <c r="MBA1" s="753"/>
      <c r="MBB1" s="753"/>
      <c r="MBC1" s="753"/>
      <c r="MBD1" s="753"/>
      <c r="MBE1" s="753"/>
      <c r="MBF1" s="753"/>
      <c r="MBG1" s="753"/>
      <c r="MBH1" s="753"/>
      <c r="MBI1" s="753"/>
      <c r="MBJ1" s="753"/>
      <c r="MBK1" s="753"/>
      <c r="MBL1" s="753"/>
      <c r="MBM1" s="753"/>
      <c r="MBN1" s="753"/>
      <c r="MBO1" s="753"/>
      <c r="MBP1" s="753"/>
      <c r="MBQ1" s="753"/>
      <c r="MBR1" s="753"/>
      <c r="MBS1" s="753"/>
      <c r="MBT1" s="753"/>
      <c r="MBU1" s="753"/>
      <c r="MBV1" s="753"/>
      <c r="MBW1" s="753"/>
      <c r="MBX1" s="753"/>
      <c r="MBY1" s="753"/>
      <c r="MBZ1" s="753"/>
      <c r="MCA1" s="753"/>
      <c r="MCB1" s="753"/>
      <c r="MCC1" s="753"/>
      <c r="MCD1" s="753"/>
      <c r="MCE1" s="753"/>
      <c r="MCF1" s="753"/>
      <c r="MCG1" s="753"/>
      <c r="MCH1" s="753"/>
      <c r="MCI1" s="753"/>
      <c r="MCJ1" s="753"/>
      <c r="MCK1" s="753"/>
      <c r="MCL1" s="753"/>
      <c r="MCM1" s="753"/>
      <c r="MCN1" s="753"/>
      <c r="MCO1" s="753"/>
      <c r="MCP1" s="753"/>
      <c r="MCQ1" s="753"/>
      <c r="MCR1" s="753"/>
      <c r="MCS1" s="753"/>
      <c r="MCT1" s="753"/>
      <c r="MCU1" s="753"/>
      <c r="MCV1" s="753"/>
      <c r="MCW1" s="753"/>
      <c r="MCX1" s="753"/>
      <c r="MCY1" s="753"/>
      <c r="MCZ1" s="753"/>
      <c r="MDA1" s="753"/>
      <c r="MDB1" s="753"/>
      <c r="MDC1" s="753"/>
      <c r="MDD1" s="753"/>
      <c r="MDE1" s="753"/>
      <c r="MDF1" s="753"/>
      <c r="MDG1" s="753"/>
      <c r="MDH1" s="753"/>
      <c r="MDI1" s="753"/>
      <c r="MDJ1" s="753"/>
      <c r="MDK1" s="753"/>
      <c r="MDL1" s="753"/>
      <c r="MDM1" s="753"/>
      <c r="MDN1" s="753"/>
      <c r="MDO1" s="753"/>
      <c r="MDP1" s="753"/>
      <c r="MDQ1" s="753"/>
      <c r="MDR1" s="753"/>
      <c r="MDS1" s="753"/>
      <c r="MDT1" s="753"/>
      <c r="MDU1" s="753"/>
      <c r="MDV1" s="753"/>
      <c r="MDW1" s="753"/>
      <c r="MDX1" s="753"/>
      <c r="MDY1" s="753"/>
      <c r="MDZ1" s="753"/>
      <c r="MEA1" s="753"/>
      <c r="MEB1" s="753"/>
      <c r="MEC1" s="753"/>
      <c r="MED1" s="753"/>
      <c r="MEE1" s="753"/>
      <c r="MEF1" s="753"/>
      <c r="MEG1" s="753"/>
      <c r="MEH1" s="753"/>
      <c r="MEI1" s="753"/>
      <c r="MEJ1" s="753"/>
      <c r="MEK1" s="753"/>
      <c r="MEL1" s="753"/>
      <c r="MEM1" s="753"/>
      <c r="MEN1" s="753"/>
      <c r="MEO1" s="753"/>
      <c r="MEP1" s="753"/>
      <c r="MEQ1" s="753"/>
      <c r="MER1" s="753"/>
      <c r="MES1" s="753"/>
      <c r="MET1" s="753"/>
      <c r="MEU1" s="753"/>
      <c r="MEV1" s="753"/>
      <c r="MEW1" s="753"/>
      <c r="MEX1" s="753"/>
      <c r="MEY1" s="753"/>
      <c r="MEZ1" s="753"/>
      <c r="MFA1" s="753"/>
      <c r="MFB1" s="753"/>
      <c r="MFC1" s="753"/>
      <c r="MFD1" s="753"/>
      <c r="MFE1" s="753"/>
      <c r="MFF1" s="753"/>
      <c r="MFG1" s="753"/>
      <c r="MFH1" s="753"/>
      <c r="MFI1" s="753"/>
      <c r="MFJ1" s="753"/>
      <c r="MFK1" s="753"/>
      <c r="MFL1" s="753"/>
      <c r="MFM1" s="753"/>
      <c r="MFN1" s="753"/>
      <c r="MFO1" s="753"/>
      <c r="MFP1" s="753"/>
      <c r="MFQ1" s="753"/>
      <c r="MFR1" s="753"/>
      <c r="MFS1" s="753"/>
      <c r="MFT1" s="753"/>
      <c r="MFU1" s="753"/>
      <c r="MFV1" s="753"/>
      <c r="MFW1" s="753"/>
      <c r="MFX1" s="753"/>
      <c r="MFY1" s="753"/>
      <c r="MFZ1" s="753"/>
      <c r="MGA1" s="753"/>
      <c r="MGB1" s="753"/>
      <c r="MGC1" s="753"/>
      <c r="MGD1" s="753"/>
      <c r="MGE1" s="753"/>
      <c r="MGF1" s="753"/>
      <c r="MGG1" s="753"/>
      <c r="MGH1" s="753"/>
      <c r="MGI1" s="753"/>
      <c r="MGJ1" s="753"/>
      <c r="MGK1" s="753"/>
      <c r="MGL1" s="753"/>
      <c r="MGM1" s="753"/>
      <c r="MGN1" s="753"/>
      <c r="MGO1" s="753"/>
      <c r="MGP1" s="753"/>
      <c r="MGQ1" s="753"/>
      <c r="MGR1" s="753"/>
      <c r="MGS1" s="753"/>
      <c r="MGT1" s="753"/>
      <c r="MGU1" s="753"/>
      <c r="MGV1" s="753"/>
      <c r="MGW1" s="753"/>
      <c r="MGX1" s="753"/>
      <c r="MGY1" s="753"/>
      <c r="MGZ1" s="753"/>
      <c r="MHA1" s="753"/>
      <c r="MHB1" s="753"/>
      <c r="MHC1" s="753"/>
      <c r="MHD1" s="753"/>
      <c r="MHE1" s="753"/>
      <c r="MHF1" s="753"/>
      <c r="MHG1" s="753"/>
      <c r="MHH1" s="753"/>
      <c r="MHI1" s="753"/>
      <c r="MHJ1" s="753"/>
      <c r="MHK1" s="753"/>
      <c r="MHL1" s="753"/>
      <c r="MHM1" s="753"/>
      <c r="MHN1" s="753"/>
      <c r="MHO1" s="753"/>
      <c r="MHP1" s="753"/>
      <c r="MHQ1" s="753"/>
      <c r="MHR1" s="753"/>
      <c r="MHS1" s="753"/>
      <c r="MHT1" s="753"/>
      <c r="MHU1" s="753"/>
      <c r="MHV1" s="753"/>
      <c r="MHW1" s="753"/>
      <c r="MHX1" s="753"/>
      <c r="MHY1" s="753"/>
      <c r="MHZ1" s="753"/>
      <c r="MIA1" s="753"/>
      <c r="MIB1" s="753"/>
      <c r="MIC1" s="753"/>
      <c r="MID1" s="753"/>
      <c r="MIE1" s="753"/>
      <c r="MIF1" s="753"/>
      <c r="MIG1" s="753"/>
      <c r="MIH1" s="753"/>
      <c r="MII1" s="753"/>
      <c r="MIJ1" s="753"/>
      <c r="MIK1" s="753"/>
      <c r="MIL1" s="753"/>
      <c r="MIM1" s="753"/>
      <c r="MIN1" s="753"/>
      <c r="MIO1" s="753"/>
      <c r="MIP1" s="753"/>
      <c r="MIQ1" s="753"/>
      <c r="MIR1" s="753"/>
      <c r="MIS1" s="753"/>
      <c r="MIT1" s="753"/>
      <c r="MIU1" s="753"/>
      <c r="MIV1" s="753"/>
      <c r="MIW1" s="753"/>
      <c r="MIX1" s="753"/>
      <c r="MIY1" s="753"/>
      <c r="MIZ1" s="753"/>
      <c r="MJA1" s="753"/>
      <c r="MJB1" s="753"/>
      <c r="MJC1" s="753"/>
      <c r="MJD1" s="753"/>
      <c r="MJE1" s="753"/>
      <c r="MJF1" s="753"/>
      <c r="MJG1" s="753"/>
      <c r="MJH1" s="753"/>
      <c r="MJI1" s="753"/>
      <c r="MJJ1" s="753"/>
      <c r="MJK1" s="753"/>
      <c r="MJL1" s="753"/>
      <c r="MJM1" s="753"/>
      <c r="MJN1" s="753"/>
      <c r="MJO1" s="753"/>
      <c r="MJP1" s="753"/>
      <c r="MJQ1" s="753"/>
      <c r="MJR1" s="753"/>
      <c r="MJS1" s="753"/>
      <c r="MJT1" s="753"/>
      <c r="MJU1" s="753"/>
      <c r="MJV1" s="753"/>
      <c r="MJW1" s="753"/>
      <c r="MJX1" s="753"/>
      <c r="MJY1" s="753"/>
      <c r="MJZ1" s="753"/>
      <c r="MKA1" s="753"/>
      <c r="MKB1" s="753"/>
      <c r="MKC1" s="753"/>
      <c r="MKD1" s="753"/>
      <c r="MKE1" s="753"/>
      <c r="MKF1" s="753"/>
      <c r="MKG1" s="753"/>
      <c r="MKH1" s="753"/>
      <c r="MKI1" s="753"/>
      <c r="MKJ1" s="753"/>
      <c r="MKK1" s="753"/>
      <c r="MKL1" s="753"/>
      <c r="MKM1" s="753"/>
      <c r="MKN1" s="753"/>
      <c r="MKO1" s="753"/>
      <c r="MKP1" s="753"/>
      <c r="MKQ1" s="753"/>
      <c r="MKR1" s="753"/>
      <c r="MKS1" s="753"/>
      <c r="MKT1" s="753"/>
      <c r="MKU1" s="753"/>
      <c r="MKV1" s="753"/>
      <c r="MKW1" s="753"/>
      <c r="MKX1" s="753"/>
      <c r="MKY1" s="753"/>
      <c r="MKZ1" s="753"/>
      <c r="MLA1" s="753"/>
      <c r="MLB1" s="753"/>
      <c r="MLC1" s="753"/>
      <c r="MLD1" s="753"/>
      <c r="MLE1" s="753"/>
      <c r="MLF1" s="753"/>
      <c r="MLG1" s="753"/>
      <c r="MLH1" s="753"/>
      <c r="MLI1" s="753"/>
      <c r="MLJ1" s="753"/>
      <c r="MLK1" s="753"/>
      <c r="MLL1" s="753"/>
      <c r="MLM1" s="753"/>
      <c r="MLN1" s="753"/>
      <c r="MLO1" s="753"/>
      <c r="MLP1" s="753"/>
      <c r="MLQ1" s="753"/>
      <c r="MLR1" s="753"/>
      <c r="MLS1" s="753"/>
      <c r="MLT1" s="753"/>
      <c r="MLU1" s="753"/>
      <c r="MLV1" s="753"/>
      <c r="MLW1" s="753"/>
      <c r="MLX1" s="753"/>
      <c r="MLY1" s="753"/>
      <c r="MLZ1" s="753"/>
      <c r="MMA1" s="753"/>
      <c r="MMB1" s="753"/>
      <c r="MMC1" s="753"/>
      <c r="MMD1" s="753"/>
      <c r="MME1" s="753"/>
      <c r="MMF1" s="753"/>
      <c r="MMG1" s="753"/>
      <c r="MMH1" s="753"/>
      <c r="MMI1" s="753"/>
      <c r="MMJ1" s="753"/>
      <c r="MMK1" s="753"/>
      <c r="MML1" s="753"/>
      <c r="MMM1" s="753"/>
      <c r="MMN1" s="753"/>
      <c r="MMO1" s="753"/>
      <c r="MMP1" s="753"/>
      <c r="MMQ1" s="753"/>
      <c r="MMR1" s="753"/>
      <c r="MMS1" s="753"/>
      <c r="MMT1" s="753"/>
      <c r="MMU1" s="753"/>
      <c r="MMV1" s="753"/>
      <c r="MMW1" s="753"/>
      <c r="MMX1" s="753"/>
      <c r="MMY1" s="753"/>
      <c r="MMZ1" s="753"/>
      <c r="MNA1" s="753"/>
      <c r="MNB1" s="753"/>
      <c r="MNC1" s="753"/>
      <c r="MND1" s="753"/>
      <c r="MNE1" s="753"/>
      <c r="MNF1" s="753"/>
      <c r="MNG1" s="753"/>
      <c r="MNH1" s="753"/>
      <c r="MNI1" s="753"/>
      <c r="MNJ1" s="753"/>
      <c r="MNK1" s="753"/>
      <c r="MNL1" s="753"/>
      <c r="MNM1" s="753"/>
      <c r="MNN1" s="753"/>
      <c r="MNO1" s="753"/>
      <c r="MNP1" s="753"/>
      <c r="MNQ1" s="753"/>
      <c r="MNR1" s="753"/>
      <c r="MNS1" s="753"/>
      <c r="MNT1" s="753"/>
      <c r="MNU1" s="753"/>
      <c r="MNV1" s="753"/>
      <c r="MNW1" s="753"/>
      <c r="MNX1" s="753"/>
      <c r="MNY1" s="753"/>
      <c r="MNZ1" s="753"/>
      <c r="MOA1" s="753"/>
      <c r="MOB1" s="753"/>
      <c r="MOC1" s="753"/>
      <c r="MOD1" s="753"/>
      <c r="MOE1" s="753"/>
      <c r="MOF1" s="753"/>
      <c r="MOG1" s="753"/>
      <c r="MOH1" s="753"/>
      <c r="MOI1" s="753"/>
      <c r="MOJ1" s="753"/>
      <c r="MOK1" s="753"/>
      <c r="MOL1" s="753"/>
      <c r="MOM1" s="753"/>
      <c r="MON1" s="753"/>
      <c r="MOO1" s="753"/>
      <c r="MOP1" s="753"/>
      <c r="MOQ1" s="753"/>
      <c r="MOR1" s="753"/>
      <c r="MOS1" s="753"/>
      <c r="MOT1" s="753"/>
      <c r="MOU1" s="753"/>
      <c r="MOV1" s="753"/>
      <c r="MOW1" s="753"/>
      <c r="MOX1" s="753"/>
      <c r="MOY1" s="753"/>
      <c r="MOZ1" s="753"/>
      <c r="MPA1" s="753"/>
      <c r="MPB1" s="753"/>
      <c r="MPC1" s="753"/>
      <c r="MPD1" s="753"/>
      <c r="MPE1" s="753"/>
      <c r="MPF1" s="753"/>
      <c r="MPG1" s="753"/>
      <c r="MPH1" s="753"/>
      <c r="MPI1" s="753"/>
      <c r="MPJ1" s="753"/>
      <c r="MPK1" s="753"/>
      <c r="MPL1" s="753"/>
      <c r="MPM1" s="753"/>
      <c r="MPN1" s="753"/>
      <c r="MPO1" s="753"/>
      <c r="MPP1" s="753"/>
      <c r="MPQ1" s="753"/>
      <c r="MPR1" s="753"/>
      <c r="MPS1" s="753"/>
      <c r="MPT1" s="753"/>
      <c r="MPU1" s="753"/>
      <c r="MPV1" s="753"/>
      <c r="MPW1" s="753"/>
      <c r="MPX1" s="753"/>
      <c r="MPY1" s="753"/>
      <c r="MPZ1" s="753"/>
      <c r="MQA1" s="753"/>
      <c r="MQB1" s="753"/>
      <c r="MQC1" s="753"/>
      <c r="MQD1" s="753"/>
      <c r="MQE1" s="753"/>
      <c r="MQF1" s="753"/>
      <c r="MQG1" s="753"/>
      <c r="MQH1" s="753"/>
      <c r="MQI1" s="753"/>
      <c r="MQJ1" s="753"/>
      <c r="MQK1" s="753"/>
      <c r="MQL1" s="753"/>
      <c r="MQM1" s="753"/>
      <c r="MQN1" s="753"/>
      <c r="MQO1" s="753"/>
      <c r="MQP1" s="753"/>
      <c r="MQQ1" s="753"/>
      <c r="MQR1" s="753"/>
      <c r="MQS1" s="753"/>
      <c r="MQT1" s="753"/>
      <c r="MQU1" s="753"/>
      <c r="MQV1" s="753"/>
      <c r="MQW1" s="753"/>
      <c r="MQX1" s="753"/>
      <c r="MQY1" s="753"/>
      <c r="MQZ1" s="753"/>
      <c r="MRA1" s="753"/>
      <c r="MRB1" s="753"/>
      <c r="MRC1" s="753"/>
      <c r="MRD1" s="753"/>
      <c r="MRE1" s="753"/>
      <c r="MRF1" s="753"/>
      <c r="MRG1" s="753"/>
      <c r="MRH1" s="753"/>
      <c r="MRI1" s="753"/>
      <c r="MRJ1" s="753"/>
      <c r="MRK1" s="753"/>
      <c r="MRL1" s="753"/>
      <c r="MRM1" s="753"/>
      <c r="MRN1" s="753"/>
      <c r="MRO1" s="753"/>
      <c r="MRP1" s="753"/>
      <c r="MRQ1" s="753"/>
      <c r="MRR1" s="753"/>
      <c r="MRS1" s="753"/>
      <c r="MRT1" s="753"/>
      <c r="MRU1" s="753"/>
      <c r="MRV1" s="753"/>
      <c r="MRW1" s="753"/>
      <c r="MRX1" s="753"/>
      <c r="MRY1" s="753"/>
      <c r="MRZ1" s="753"/>
      <c r="MSA1" s="753"/>
      <c r="MSB1" s="753"/>
      <c r="MSC1" s="753"/>
      <c r="MSD1" s="753"/>
      <c r="MSE1" s="753"/>
      <c r="MSF1" s="753"/>
      <c r="MSG1" s="753"/>
      <c r="MSH1" s="753"/>
      <c r="MSI1" s="753"/>
      <c r="MSJ1" s="753"/>
      <c r="MSK1" s="753"/>
      <c r="MSL1" s="753"/>
      <c r="MSM1" s="753"/>
      <c r="MSN1" s="753"/>
      <c r="MSO1" s="753"/>
      <c r="MSP1" s="753"/>
      <c r="MSQ1" s="753"/>
      <c r="MSR1" s="753"/>
      <c r="MSS1" s="753"/>
      <c r="MST1" s="753"/>
      <c r="MSU1" s="753"/>
      <c r="MSV1" s="753"/>
      <c r="MSW1" s="753"/>
      <c r="MSX1" s="753"/>
      <c r="MSY1" s="753"/>
      <c r="MSZ1" s="753"/>
      <c r="MTA1" s="753"/>
      <c r="MTB1" s="753"/>
      <c r="MTC1" s="753"/>
      <c r="MTD1" s="753"/>
      <c r="MTE1" s="753"/>
      <c r="MTF1" s="753"/>
      <c r="MTG1" s="753"/>
      <c r="MTH1" s="753"/>
      <c r="MTI1" s="753"/>
      <c r="MTJ1" s="753"/>
      <c r="MTK1" s="753"/>
      <c r="MTL1" s="753"/>
      <c r="MTM1" s="753"/>
      <c r="MTN1" s="753"/>
      <c r="MTO1" s="753"/>
      <c r="MTP1" s="753"/>
      <c r="MTQ1" s="753"/>
      <c r="MTR1" s="753"/>
      <c r="MTS1" s="753"/>
      <c r="MTT1" s="753"/>
      <c r="MTU1" s="753"/>
      <c r="MTV1" s="753"/>
      <c r="MTW1" s="753"/>
      <c r="MTX1" s="753"/>
      <c r="MTY1" s="753"/>
      <c r="MTZ1" s="753"/>
      <c r="MUA1" s="753"/>
      <c r="MUB1" s="753"/>
      <c r="MUC1" s="753"/>
      <c r="MUD1" s="753"/>
      <c r="MUE1" s="753"/>
      <c r="MUF1" s="753"/>
      <c r="MUG1" s="753"/>
      <c r="MUH1" s="753"/>
      <c r="MUI1" s="753"/>
      <c r="MUJ1" s="753"/>
      <c r="MUK1" s="753"/>
      <c r="MUL1" s="753"/>
      <c r="MUM1" s="753"/>
      <c r="MUN1" s="753"/>
      <c r="MUO1" s="753"/>
      <c r="MUP1" s="753"/>
      <c r="MUQ1" s="753"/>
      <c r="MUR1" s="753"/>
      <c r="MUS1" s="753"/>
      <c r="MUT1" s="753"/>
      <c r="MUU1" s="753"/>
      <c r="MUV1" s="753"/>
      <c r="MUW1" s="753"/>
      <c r="MUX1" s="753"/>
      <c r="MUY1" s="753"/>
      <c r="MUZ1" s="753"/>
      <c r="MVA1" s="753"/>
      <c r="MVB1" s="753"/>
      <c r="MVC1" s="753"/>
      <c r="MVD1" s="753"/>
      <c r="MVE1" s="753"/>
      <c r="MVF1" s="753"/>
      <c r="MVG1" s="753"/>
      <c r="MVH1" s="753"/>
      <c r="MVI1" s="753"/>
      <c r="MVJ1" s="753"/>
      <c r="MVK1" s="753"/>
      <c r="MVL1" s="753"/>
      <c r="MVM1" s="753"/>
      <c r="MVN1" s="753"/>
      <c r="MVO1" s="753"/>
      <c r="MVP1" s="753"/>
      <c r="MVQ1" s="753"/>
      <c r="MVR1" s="753"/>
      <c r="MVS1" s="753"/>
      <c r="MVT1" s="753"/>
      <c r="MVU1" s="753"/>
      <c r="MVV1" s="753"/>
      <c r="MVW1" s="753"/>
      <c r="MVX1" s="753"/>
      <c r="MVY1" s="753"/>
      <c r="MVZ1" s="753"/>
      <c r="MWA1" s="753"/>
      <c r="MWB1" s="753"/>
      <c r="MWC1" s="753"/>
      <c r="MWD1" s="753"/>
      <c r="MWE1" s="753"/>
      <c r="MWF1" s="753"/>
      <c r="MWG1" s="753"/>
      <c r="MWH1" s="753"/>
      <c r="MWI1" s="753"/>
      <c r="MWJ1" s="753"/>
      <c r="MWK1" s="753"/>
      <c r="MWL1" s="753"/>
      <c r="MWM1" s="753"/>
      <c r="MWN1" s="753"/>
      <c r="MWO1" s="753"/>
      <c r="MWP1" s="753"/>
      <c r="MWQ1" s="753"/>
      <c r="MWR1" s="753"/>
      <c r="MWS1" s="753"/>
      <c r="MWT1" s="753"/>
      <c r="MWU1" s="753"/>
      <c r="MWV1" s="753"/>
      <c r="MWW1" s="753"/>
      <c r="MWX1" s="753"/>
      <c r="MWY1" s="753"/>
      <c r="MWZ1" s="753"/>
      <c r="MXA1" s="753"/>
      <c r="MXB1" s="753"/>
      <c r="MXC1" s="753"/>
      <c r="MXD1" s="753"/>
      <c r="MXE1" s="753"/>
      <c r="MXF1" s="753"/>
      <c r="MXG1" s="753"/>
      <c r="MXH1" s="753"/>
      <c r="MXI1" s="753"/>
      <c r="MXJ1" s="753"/>
      <c r="MXK1" s="753"/>
      <c r="MXL1" s="753"/>
      <c r="MXM1" s="753"/>
      <c r="MXN1" s="753"/>
      <c r="MXO1" s="753"/>
      <c r="MXP1" s="753"/>
      <c r="MXQ1" s="753"/>
      <c r="MXR1" s="753"/>
      <c r="MXS1" s="753"/>
      <c r="MXT1" s="753"/>
      <c r="MXU1" s="753"/>
      <c r="MXV1" s="753"/>
      <c r="MXW1" s="753"/>
      <c r="MXX1" s="753"/>
      <c r="MXY1" s="753"/>
      <c r="MXZ1" s="753"/>
      <c r="MYA1" s="753"/>
      <c r="MYB1" s="753"/>
      <c r="MYC1" s="753"/>
      <c r="MYD1" s="753"/>
      <c r="MYE1" s="753"/>
      <c r="MYF1" s="753"/>
      <c r="MYG1" s="753"/>
      <c r="MYH1" s="753"/>
      <c r="MYI1" s="753"/>
      <c r="MYJ1" s="753"/>
      <c r="MYK1" s="753"/>
      <c r="MYL1" s="753"/>
      <c r="MYM1" s="753"/>
      <c r="MYN1" s="753"/>
      <c r="MYO1" s="753"/>
      <c r="MYP1" s="753"/>
      <c r="MYQ1" s="753"/>
      <c r="MYR1" s="753"/>
      <c r="MYS1" s="753"/>
      <c r="MYT1" s="753"/>
      <c r="MYU1" s="753"/>
      <c r="MYV1" s="753"/>
      <c r="MYW1" s="753"/>
      <c r="MYX1" s="753"/>
      <c r="MYY1" s="753"/>
      <c r="MYZ1" s="753"/>
      <c r="MZA1" s="753"/>
      <c r="MZB1" s="753"/>
      <c r="MZC1" s="753"/>
      <c r="MZD1" s="753"/>
      <c r="MZE1" s="753"/>
      <c r="MZF1" s="753"/>
      <c r="MZG1" s="753"/>
      <c r="MZH1" s="753"/>
      <c r="MZI1" s="753"/>
      <c r="MZJ1" s="753"/>
      <c r="MZK1" s="753"/>
      <c r="MZL1" s="753"/>
      <c r="MZM1" s="753"/>
      <c r="MZN1" s="753"/>
      <c r="MZO1" s="753"/>
      <c r="MZP1" s="753"/>
      <c r="MZQ1" s="753"/>
      <c r="MZR1" s="753"/>
      <c r="MZS1" s="753"/>
      <c r="MZT1" s="753"/>
      <c r="MZU1" s="753"/>
      <c r="MZV1" s="753"/>
      <c r="MZW1" s="753"/>
      <c r="MZX1" s="753"/>
      <c r="MZY1" s="753"/>
      <c r="MZZ1" s="753"/>
      <c r="NAA1" s="753"/>
      <c r="NAB1" s="753"/>
      <c r="NAC1" s="753"/>
      <c r="NAD1" s="753"/>
      <c r="NAE1" s="753"/>
      <c r="NAF1" s="753"/>
      <c r="NAG1" s="753"/>
      <c r="NAH1" s="753"/>
      <c r="NAI1" s="753"/>
      <c r="NAJ1" s="753"/>
      <c r="NAK1" s="753"/>
      <c r="NAL1" s="753"/>
      <c r="NAM1" s="753"/>
      <c r="NAN1" s="753"/>
      <c r="NAO1" s="753"/>
      <c r="NAP1" s="753"/>
      <c r="NAQ1" s="753"/>
      <c r="NAR1" s="753"/>
      <c r="NAS1" s="753"/>
      <c r="NAT1" s="753"/>
      <c r="NAU1" s="753"/>
      <c r="NAV1" s="753"/>
      <c r="NAW1" s="753"/>
      <c r="NAX1" s="753"/>
      <c r="NAY1" s="753"/>
      <c r="NAZ1" s="753"/>
      <c r="NBA1" s="753"/>
      <c r="NBB1" s="753"/>
      <c r="NBC1" s="753"/>
      <c r="NBD1" s="753"/>
      <c r="NBE1" s="753"/>
      <c r="NBF1" s="753"/>
      <c r="NBG1" s="753"/>
      <c r="NBH1" s="753"/>
      <c r="NBI1" s="753"/>
      <c r="NBJ1" s="753"/>
      <c r="NBK1" s="753"/>
      <c r="NBL1" s="753"/>
      <c r="NBM1" s="753"/>
      <c r="NBN1" s="753"/>
      <c r="NBO1" s="753"/>
      <c r="NBP1" s="753"/>
      <c r="NBQ1" s="753"/>
      <c r="NBR1" s="753"/>
      <c r="NBS1" s="753"/>
      <c r="NBT1" s="753"/>
      <c r="NBU1" s="753"/>
      <c r="NBV1" s="753"/>
      <c r="NBW1" s="753"/>
      <c r="NBX1" s="753"/>
      <c r="NBY1" s="753"/>
      <c r="NBZ1" s="753"/>
      <c r="NCA1" s="753"/>
      <c r="NCB1" s="753"/>
      <c r="NCC1" s="753"/>
      <c r="NCD1" s="753"/>
      <c r="NCE1" s="753"/>
      <c r="NCF1" s="753"/>
      <c r="NCG1" s="753"/>
      <c r="NCH1" s="753"/>
      <c r="NCI1" s="753"/>
      <c r="NCJ1" s="753"/>
      <c r="NCK1" s="753"/>
      <c r="NCL1" s="753"/>
      <c r="NCM1" s="753"/>
      <c r="NCN1" s="753"/>
      <c r="NCO1" s="753"/>
      <c r="NCP1" s="753"/>
      <c r="NCQ1" s="753"/>
      <c r="NCR1" s="753"/>
      <c r="NCS1" s="753"/>
      <c r="NCT1" s="753"/>
      <c r="NCU1" s="753"/>
      <c r="NCV1" s="753"/>
      <c r="NCW1" s="753"/>
      <c r="NCX1" s="753"/>
      <c r="NCY1" s="753"/>
      <c r="NCZ1" s="753"/>
      <c r="NDA1" s="753"/>
      <c r="NDB1" s="753"/>
      <c r="NDC1" s="753"/>
      <c r="NDD1" s="753"/>
      <c r="NDE1" s="753"/>
      <c r="NDF1" s="753"/>
      <c r="NDG1" s="753"/>
      <c r="NDH1" s="753"/>
      <c r="NDI1" s="753"/>
      <c r="NDJ1" s="753"/>
      <c r="NDK1" s="753"/>
      <c r="NDL1" s="753"/>
      <c r="NDM1" s="753"/>
      <c r="NDN1" s="753"/>
      <c r="NDO1" s="753"/>
      <c r="NDP1" s="753"/>
      <c r="NDQ1" s="753"/>
      <c r="NDR1" s="753"/>
      <c r="NDS1" s="753"/>
      <c r="NDT1" s="753"/>
      <c r="NDU1" s="753"/>
      <c r="NDV1" s="753"/>
      <c r="NDW1" s="753"/>
      <c r="NDX1" s="753"/>
      <c r="NDY1" s="753"/>
      <c r="NDZ1" s="753"/>
      <c r="NEA1" s="753"/>
      <c r="NEB1" s="753"/>
      <c r="NEC1" s="753"/>
      <c r="NED1" s="753"/>
      <c r="NEE1" s="753"/>
      <c r="NEF1" s="753"/>
      <c r="NEG1" s="753"/>
      <c r="NEH1" s="753"/>
      <c r="NEI1" s="753"/>
      <c r="NEJ1" s="753"/>
      <c r="NEK1" s="753"/>
      <c r="NEL1" s="753"/>
      <c r="NEM1" s="753"/>
      <c r="NEN1" s="753"/>
      <c r="NEO1" s="753"/>
      <c r="NEP1" s="753"/>
      <c r="NEQ1" s="753"/>
      <c r="NER1" s="753"/>
      <c r="NES1" s="753"/>
      <c r="NET1" s="753"/>
      <c r="NEU1" s="753"/>
      <c r="NEV1" s="753"/>
      <c r="NEW1" s="753"/>
      <c r="NEX1" s="753"/>
      <c r="NEY1" s="753"/>
      <c r="NEZ1" s="753"/>
      <c r="NFA1" s="753"/>
      <c r="NFB1" s="753"/>
      <c r="NFC1" s="753"/>
      <c r="NFD1" s="753"/>
      <c r="NFE1" s="753"/>
      <c r="NFF1" s="753"/>
      <c r="NFG1" s="753"/>
      <c r="NFH1" s="753"/>
      <c r="NFI1" s="753"/>
      <c r="NFJ1" s="753"/>
      <c r="NFK1" s="753"/>
      <c r="NFL1" s="753"/>
      <c r="NFM1" s="753"/>
      <c r="NFN1" s="753"/>
      <c r="NFO1" s="753"/>
      <c r="NFP1" s="753"/>
      <c r="NFQ1" s="753"/>
      <c r="NFR1" s="753"/>
      <c r="NFS1" s="753"/>
      <c r="NFT1" s="753"/>
      <c r="NFU1" s="753"/>
      <c r="NFV1" s="753"/>
      <c r="NFW1" s="753"/>
      <c r="NFX1" s="753"/>
      <c r="NFY1" s="753"/>
      <c r="NFZ1" s="753"/>
      <c r="NGA1" s="753"/>
      <c r="NGB1" s="753"/>
      <c r="NGC1" s="753"/>
      <c r="NGD1" s="753"/>
      <c r="NGE1" s="753"/>
      <c r="NGF1" s="753"/>
      <c r="NGG1" s="753"/>
      <c r="NGH1" s="753"/>
      <c r="NGI1" s="753"/>
      <c r="NGJ1" s="753"/>
      <c r="NGK1" s="753"/>
      <c r="NGL1" s="753"/>
      <c r="NGM1" s="753"/>
      <c r="NGN1" s="753"/>
      <c r="NGO1" s="753"/>
      <c r="NGP1" s="753"/>
      <c r="NGQ1" s="753"/>
      <c r="NGR1" s="753"/>
      <c r="NGS1" s="753"/>
      <c r="NGT1" s="753"/>
      <c r="NGU1" s="753"/>
      <c r="NGV1" s="753"/>
      <c r="NGW1" s="753"/>
      <c r="NGX1" s="753"/>
      <c r="NGY1" s="753"/>
      <c r="NGZ1" s="753"/>
      <c r="NHA1" s="753"/>
      <c r="NHB1" s="753"/>
      <c r="NHC1" s="753"/>
      <c r="NHD1" s="753"/>
      <c r="NHE1" s="753"/>
      <c r="NHF1" s="753"/>
      <c r="NHG1" s="753"/>
      <c r="NHH1" s="753"/>
      <c r="NHI1" s="753"/>
      <c r="NHJ1" s="753"/>
      <c r="NHK1" s="753"/>
      <c r="NHL1" s="753"/>
      <c r="NHM1" s="753"/>
      <c r="NHN1" s="753"/>
      <c r="NHO1" s="753"/>
      <c r="NHP1" s="753"/>
      <c r="NHQ1" s="753"/>
      <c r="NHR1" s="753"/>
      <c r="NHS1" s="753"/>
      <c r="NHT1" s="753"/>
      <c r="NHU1" s="753"/>
      <c r="NHV1" s="753"/>
      <c r="NHW1" s="753"/>
      <c r="NHX1" s="753"/>
      <c r="NHY1" s="753"/>
      <c r="NHZ1" s="753"/>
      <c r="NIA1" s="753"/>
      <c r="NIB1" s="753"/>
      <c r="NIC1" s="753"/>
      <c r="NID1" s="753"/>
      <c r="NIE1" s="753"/>
      <c r="NIF1" s="753"/>
      <c r="NIG1" s="753"/>
      <c r="NIH1" s="753"/>
      <c r="NII1" s="753"/>
      <c r="NIJ1" s="753"/>
      <c r="NIK1" s="753"/>
      <c r="NIL1" s="753"/>
      <c r="NIM1" s="753"/>
      <c r="NIN1" s="753"/>
      <c r="NIO1" s="753"/>
      <c r="NIP1" s="753"/>
      <c r="NIQ1" s="753"/>
      <c r="NIR1" s="753"/>
      <c r="NIS1" s="753"/>
      <c r="NIT1" s="753"/>
      <c r="NIU1" s="753"/>
      <c r="NIV1" s="753"/>
      <c r="NIW1" s="753"/>
      <c r="NIX1" s="753"/>
      <c r="NIY1" s="753"/>
      <c r="NIZ1" s="753"/>
      <c r="NJA1" s="753"/>
      <c r="NJB1" s="753"/>
      <c r="NJC1" s="753"/>
      <c r="NJD1" s="753"/>
      <c r="NJE1" s="753"/>
      <c r="NJF1" s="753"/>
      <c r="NJG1" s="753"/>
      <c r="NJH1" s="753"/>
      <c r="NJI1" s="753"/>
      <c r="NJJ1" s="753"/>
      <c r="NJK1" s="753"/>
      <c r="NJL1" s="753"/>
      <c r="NJM1" s="753"/>
      <c r="NJN1" s="753"/>
      <c r="NJO1" s="753"/>
      <c r="NJP1" s="753"/>
      <c r="NJQ1" s="753"/>
      <c r="NJR1" s="753"/>
      <c r="NJS1" s="753"/>
      <c r="NJT1" s="753"/>
      <c r="NJU1" s="753"/>
      <c r="NJV1" s="753"/>
      <c r="NJW1" s="753"/>
      <c r="NJX1" s="753"/>
      <c r="NJY1" s="753"/>
      <c r="NJZ1" s="753"/>
      <c r="NKA1" s="753"/>
      <c r="NKB1" s="753"/>
      <c r="NKC1" s="753"/>
      <c r="NKD1" s="753"/>
      <c r="NKE1" s="753"/>
      <c r="NKF1" s="753"/>
      <c r="NKG1" s="753"/>
      <c r="NKH1" s="753"/>
      <c r="NKI1" s="753"/>
      <c r="NKJ1" s="753"/>
      <c r="NKK1" s="753"/>
      <c r="NKL1" s="753"/>
      <c r="NKM1" s="753"/>
      <c r="NKN1" s="753"/>
      <c r="NKO1" s="753"/>
      <c r="NKP1" s="753"/>
      <c r="NKQ1" s="753"/>
      <c r="NKR1" s="753"/>
      <c r="NKS1" s="753"/>
      <c r="NKT1" s="753"/>
      <c r="NKU1" s="753"/>
      <c r="NKV1" s="753"/>
      <c r="NKW1" s="753"/>
      <c r="NKX1" s="753"/>
      <c r="NKY1" s="753"/>
      <c r="NKZ1" s="753"/>
      <c r="NLA1" s="753"/>
      <c r="NLB1" s="753"/>
      <c r="NLC1" s="753"/>
      <c r="NLD1" s="753"/>
      <c r="NLE1" s="753"/>
      <c r="NLF1" s="753"/>
      <c r="NLG1" s="753"/>
      <c r="NLH1" s="753"/>
      <c r="NLI1" s="753"/>
      <c r="NLJ1" s="753"/>
      <c r="NLK1" s="753"/>
      <c r="NLL1" s="753"/>
      <c r="NLM1" s="753"/>
      <c r="NLN1" s="753"/>
      <c r="NLO1" s="753"/>
      <c r="NLP1" s="753"/>
      <c r="NLQ1" s="753"/>
      <c r="NLR1" s="753"/>
      <c r="NLS1" s="753"/>
      <c r="NLT1" s="753"/>
      <c r="NLU1" s="753"/>
      <c r="NLV1" s="753"/>
      <c r="NLW1" s="753"/>
      <c r="NLX1" s="753"/>
      <c r="NLY1" s="753"/>
      <c r="NLZ1" s="753"/>
      <c r="NMA1" s="753"/>
      <c r="NMB1" s="753"/>
      <c r="NMC1" s="753"/>
      <c r="NMD1" s="753"/>
      <c r="NME1" s="753"/>
      <c r="NMF1" s="753"/>
      <c r="NMG1" s="753"/>
      <c r="NMH1" s="753"/>
      <c r="NMI1" s="753"/>
      <c r="NMJ1" s="753"/>
      <c r="NMK1" s="753"/>
      <c r="NML1" s="753"/>
      <c r="NMM1" s="753"/>
      <c r="NMN1" s="753"/>
      <c r="NMO1" s="753"/>
      <c r="NMP1" s="753"/>
      <c r="NMQ1" s="753"/>
      <c r="NMR1" s="753"/>
      <c r="NMS1" s="753"/>
      <c r="NMT1" s="753"/>
      <c r="NMU1" s="753"/>
      <c r="NMV1" s="753"/>
      <c r="NMW1" s="753"/>
      <c r="NMX1" s="753"/>
      <c r="NMY1" s="753"/>
      <c r="NMZ1" s="753"/>
      <c r="NNA1" s="753"/>
      <c r="NNB1" s="753"/>
      <c r="NNC1" s="753"/>
      <c r="NND1" s="753"/>
      <c r="NNE1" s="753"/>
      <c r="NNF1" s="753"/>
      <c r="NNG1" s="753"/>
      <c r="NNH1" s="753"/>
      <c r="NNI1" s="753"/>
      <c r="NNJ1" s="753"/>
      <c r="NNK1" s="753"/>
      <c r="NNL1" s="753"/>
      <c r="NNM1" s="753"/>
      <c r="NNN1" s="753"/>
      <c r="NNO1" s="753"/>
      <c r="NNP1" s="753"/>
      <c r="NNQ1" s="753"/>
      <c r="NNR1" s="753"/>
      <c r="NNS1" s="753"/>
      <c r="NNT1" s="753"/>
      <c r="NNU1" s="753"/>
      <c r="NNV1" s="753"/>
      <c r="NNW1" s="753"/>
      <c r="NNX1" s="753"/>
      <c r="NNY1" s="753"/>
      <c r="NNZ1" s="753"/>
      <c r="NOA1" s="753"/>
      <c r="NOB1" s="753"/>
      <c r="NOC1" s="753"/>
      <c r="NOD1" s="753"/>
      <c r="NOE1" s="753"/>
      <c r="NOF1" s="753"/>
      <c r="NOG1" s="753"/>
      <c r="NOH1" s="753"/>
      <c r="NOI1" s="753"/>
      <c r="NOJ1" s="753"/>
      <c r="NOK1" s="753"/>
      <c r="NOL1" s="753"/>
      <c r="NOM1" s="753"/>
      <c r="NON1" s="753"/>
      <c r="NOO1" s="753"/>
      <c r="NOP1" s="753"/>
      <c r="NOQ1" s="753"/>
      <c r="NOR1" s="753"/>
      <c r="NOS1" s="753"/>
      <c r="NOT1" s="753"/>
      <c r="NOU1" s="753"/>
      <c r="NOV1" s="753"/>
      <c r="NOW1" s="753"/>
      <c r="NOX1" s="753"/>
      <c r="NOY1" s="753"/>
      <c r="NOZ1" s="753"/>
      <c r="NPA1" s="753"/>
      <c r="NPB1" s="753"/>
      <c r="NPC1" s="753"/>
      <c r="NPD1" s="753"/>
      <c r="NPE1" s="753"/>
      <c r="NPF1" s="753"/>
      <c r="NPG1" s="753"/>
      <c r="NPH1" s="753"/>
      <c r="NPI1" s="753"/>
      <c r="NPJ1" s="753"/>
      <c r="NPK1" s="753"/>
      <c r="NPL1" s="753"/>
      <c r="NPM1" s="753"/>
      <c r="NPN1" s="753"/>
      <c r="NPO1" s="753"/>
      <c r="NPP1" s="753"/>
      <c r="NPQ1" s="753"/>
      <c r="NPR1" s="753"/>
      <c r="NPS1" s="753"/>
      <c r="NPT1" s="753"/>
      <c r="NPU1" s="753"/>
      <c r="NPV1" s="753"/>
      <c r="NPW1" s="753"/>
      <c r="NPX1" s="753"/>
      <c r="NPY1" s="753"/>
      <c r="NPZ1" s="753"/>
      <c r="NQA1" s="753"/>
      <c r="NQB1" s="753"/>
      <c r="NQC1" s="753"/>
      <c r="NQD1" s="753"/>
      <c r="NQE1" s="753"/>
      <c r="NQF1" s="753"/>
      <c r="NQG1" s="753"/>
      <c r="NQH1" s="753"/>
      <c r="NQI1" s="753"/>
      <c r="NQJ1" s="753"/>
      <c r="NQK1" s="753"/>
      <c r="NQL1" s="753"/>
      <c r="NQM1" s="753"/>
      <c r="NQN1" s="753"/>
      <c r="NQO1" s="753"/>
      <c r="NQP1" s="753"/>
      <c r="NQQ1" s="753"/>
      <c r="NQR1" s="753"/>
      <c r="NQS1" s="753"/>
      <c r="NQT1" s="753"/>
      <c r="NQU1" s="753"/>
      <c r="NQV1" s="753"/>
      <c r="NQW1" s="753"/>
      <c r="NQX1" s="753"/>
      <c r="NQY1" s="753"/>
      <c r="NQZ1" s="753"/>
      <c r="NRA1" s="753"/>
      <c r="NRB1" s="753"/>
      <c r="NRC1" s="753"/>
      <c r="NRD1" s="753"/>
      <c r="NRE1" s="753"/>
      <c r="NRF1" s="753"/>
      <c r="NRG1" s="753"/>
      <c r="NRH1" s="753"/>
      <c r="NRI1" s="753"/>
      <c r="NRJ1" s="753"/>
      <c r="NRK1" s="753"/>
      <c r="NRL1" s="753"/>
      <c r="NRM1" s="753"/>
      <c r="NRN1" s="753"/>
      <c r="NRO1" s="753"/>
      <c r="NRP1" s="753"/>
      <c r="NRQ1" s="753"/>
      <c r="NRR1" s="753"/>
      <c r="NRS1" s="753"/>
      <c r="NRT1" s="753"/>
      <c r="NRU1" s="753"/>
      <c r="NRV1" s="753"/>
      <c r="NRW1" s="753"/>
      <c r="NRX1" s="753"/>
      <c r="NRY1" s="753"/>
      <c r="NRZ1" s="753"/>
      <c r="NSA1" s="753"/>
      <c r="NSB1" s="753"/>
      <c r="NSC1" s="753"/>
      <c r="NSD1" s="753"/>
      <c r="NSE1" s="753"/>
      <c r="NSF1" s="753"/>
      <c r="NSG1" s="753"/>
      <c r="NSH1" s="753"/>
      <c r="NSI1" s="753"/>
      <c r="NSJ1" s="753"/>
      <c r="NSK1" s="753"/>
      <c r="NSL1" s="753"/>
      <c r="NSM1" s="753"/>
      <c r="NSN1" s="753"/>
      <c r="NSO1" s="753"/>
      <c r="NSP1" s="753"/>
      <c r="NSQ1" s="753"/>
      <c r="NSR1" s="753"/>
      <c r="NSS1" s="753"/>
      <c r="NST1" s="753"/>
      <c r="NSU1" s="753"/>
      <c r="NSV1" s="753"/>
      <c r="NSW1" s="753"/>
      <c r="NSX1" s="753"/>
      <c r="NSY1" s="753"/>
      <c r="NSZ1" s="753"/>
      <c r="NTA1" s="753"/>
      <c r="NTB1" s="753"/>
      <c r="NTC1" s="753"/>
      <c r="NTD1" s="753"/>
      <c r="NTE1" s="753"/>
      <c r="NTF1" s="753"/>
      <c r="NTG1" s="753"/>
      <c r="NTH1" s="753"/>
      <c r="NTI1" s="753"/>
      <c r="NTJ1" s="753"/>
      <c r="NTK1" s="753"/>
      <c r="NTL1" s="753"/>
      <c r="NTM1" s="753"/>
      <c r="NTN1" s="753"/>
      <c r="NTO1" s="753"/>
      <c r="NTP1" s="753"/>
      <c r="NTQ1" s="753"/>
      <c r="NTR1" s="753"/>
      <c r="NTS1" s="753"/>
      <c r="NTT1" s="753"/>
      <c r="NTU1" s="753"/>
      <c r="NTV1" s="753"/>
      <c r="NTW1" s="753"/>
      <c r="NTX1" s="753"/>
      <c r="NTY1" s="753"/>
      <c r="NTZ1" s="753"/>
      <c r="NUA1" s="753"/>
      <c r="NUB1" s="753"/>
      <c r="NUC1" s="753"/>
      <c r="NUD1" s="753"/>
      <c r="NUE1" s="753"/>
      <c r="NUF1" s="753"/>
      <c r="NUG1" s="753"/>
      <c r="NUH1" s="753"/>
      <c r="NUI1" s="753"/>
      <c r="NUJ1" s="753"/>
      <c r="NUK1" s="753"/>
      <c r="NUL1" s="753"/>
      <c r="NUM1" s="753"/>
      <c r="NUN1" s="753"/>
      <c r="NUO1" s="753"/>
      <c r="NUP1" s="753"/>
      <c r="NUQ1" s="753"/>
      <c r="NUR1" s="753"/>
      <c r="NUS1" s="753"/>
      <c r="NUT1" s="753"/>
      <c r="NUU1" s="753"/>
      <c r="NUV1" s="753"/>
      <c r="NUW1" s="753"/>
      <c r="NUX1" s="753"/>
      <c r="NUY1" s="753"/>
      <c r="NUZ1" s="753"/>
      <c r="NVA1" s="753"/>
      <c r="NVB1" s="753"/>
      <c r="NVC1" s="753"/>
      <c r="NVD1" s="753"/>
      <c r="NVE1" s="753"/>
      <c r="NVF1" s="753"/>
      <c r="NVG1" s="753"/>
      <c r="NVH1" s="753"/>
      <c r="NVI1" s="753"/>
      <c r="NVJ1" s="753"/>
      <c r="NVK1" s="753"/>
      <c r="NVL1" s="753"/>
      <c r="NVM1" s="753"/>
      <c r="NVN1" s="753"/>
      <c r="NVO1" s="753"/>
      <c r="NVP1" s="753"/>
      <c r="NVQ1" s="753"/>
      <c r="NVR1" s="753"/>
      <c r="NVS1" s="753"/>
      <c r="NVT1" s="753"/>
      <c r="NVU1" s="753"/>
      <c r="NVV1" s="753"/>
      <c r="NVW1" s="753"/>
      <c r="NVX1" s="753"/>
      <c r="NVY1" s="753"/>
      <c r="NVZ1" s="753"/>
      <c r="NWA1" s="753"/>
      <c r="NWB1" s="753"/>
      <c r="NWC1" s="753"/>
      <c r="NWD1" s="753"/>
      <c r="NWE1" s="753"/>
      <c r="NWF1" s="753"/>
      <c r="NWG1" s="753"/>
      <c r="NWH1" s="753"/>
      <c r="NWI1" s="753"/>
      <c r="NWJ1" s="753"/>
      <c r="NWK1" s="753"/>
      <c r="NWL1" s="753"/>
      <c r="NWM1" s="753"/>
      <c r="NWN1" s="753"/>
      <c r="NWO1" s="753"/>
      <c r="NWP1" s="753"/>
      <c r="NWQ1" s="753"/>
      <c r="NWR1" s="753"/>
      <c r="NWS1" s="753"/>
      <c r="NWT1" s="753"/>
      <c r="NWU1" s="753"/>
      <c r="NWV1" s="753"/>
      <c r="NWW1" s="753"/>
      <c r="NWX1" s="753"/>
      <c r="NWY1" s="753"/>
      <c r="NWZ1" s="753"/>
      <c r="NXA1" s="753"/>
      <c r="NXB1" s="753"/>
      <c r="NXC1" s="753"/>
      <c r="NXD1" s="753"/>
      <c r="NXE1" s="753"/>
      <c r="NXF1" s="753"/>
      <c r="NXG1" s="753"/>
      <c r="NXH1" s="753"/>
      <c r="NXI1" s="753"/>
      <c r="NXJ1" s="753"/>
      <c r="NXK1" s="753"/>
      <c r="NXL1" s="753"/>
      <c r="NXM1" s="753"/>
      <c r="NXN1" s="753"/>
      <c r="NXO1" s="753"/>
      <c r="NXP1" s="753"/>
      <c r="NXQ1" s="753"/>
      <c r="NXR1" s="753"/>
      <c r="NXS1" s="753"/>
      <c r="NXT1" s="753"/>
      <c r="NXU1" s="753"/>
      <c r="NXV1" s="753"/>
      <c r="NXW1" s="753"/>
      <c r="NXX1" s="753"/>
      <c r="NXY1" s="753"/>
      <c r="NXZ1" s="753"/>
      <c r="NYA1" s="753"/>
      <c r="NYB1" s="753"/>
      <c r="NYC1" s="753"/>
      <c r="NYD1" s="753"/>
      <c r="NYE1" s="753"/>
      <c r="NYF1" s="753"/>
      <c r="NYG1" s="753"/>
      <c r="NYH1" s="753"/>
      <c r="NYI1" s="753"/>
      <c r="NYJ1" s="753"/>
      <c r="NYK1" s="753"/>
      <c r="NYL1" s="753"/>
      <c r="NYM1" s="753"/>
      <c r="NYN1" s="753"/>
      <c r="NYO1" s="753"/>
      <c r="NYP1" s="753"/>
      <c r="NYQ1" s="753"/>
      <c r="NYR1" s="753"/>
      <c r="NYS1" s="753"/>
      <c r="NYT1" s="753"/>
      <c r="NYU1" s="753"/>
      <c r="NYV1" s="753"/>
      <c r="NYW1" s="753"/>
      <c r="NYX1" s="753"/>
      <c r="NYY1" s="753"/>
      <c r="NYZ1" s="753"/>
      <c r="NZA1" s="753"/>
      <c r="NZB1" s="753"/>
      <c r="NZC1" s="753"/>
      <c r="NZD1" s="753"/>
      <c r="NZE1" s="753"/>
      <c r="NZF1" s="753"/>
      <c r="NZG1" s="753"/>
      <c r="NZH1" s="753"/>
      <c r="NZI1" s="753"/>
      <c r="NZJ1" s="753"/>
      <c r="NZK1" s="753"/>
      <c r="NZL1" s="753"/>
      <c r="NZM1" s="753"/>
      <c r="NZN1" s="753"/>
      <c r="NZO1" s="753"/>
      <c r="NZP1" s="753"/>
      <c r="NZQ1" s="753"/>
      <c r="NZR1" s="753"/>
      <c r="NZS1" s="753"/>
      <c r="NZT1" s="753"/>
      <c r="NZU1" s="753"/>
      <c r="NZV1" s="753"/>
      <c r="NZW1" s="753"/>
      <c r="NZX1" s="753"/>
      <c r="NZY1" s="753"/>
      <c r="NZZ1" s="753"/>
      <c r="OAA1" s="753"/>
      <c r="OAB1" s="753"/>
      <c r="OAC1" s="753"/>
      <c r="OAD1" s="753"/>
      <c r="OAE1" s="753"/>
      <c r="OAF1" s="753"/>
      <c r="OAG1" s="753"/>
      <c r="OAH1" s="753"/>
      <c r="OAI1" s="753"/>
      <c r="OAJ1" s="753"/>
      <c r="OAK1" s="753"/>
      <c r="OAL1" s="753"/>
      <c r="OAM1" s="753"/>
      <c r="OAN1" s="753"/>
      <c r="OAO1" s="753"/>
      <c r="OAP1" s="753"/>
      <c r="OAQ1" s="753"/>
      <c r="OAR1" s="753"/>
      <c r="OAS1" s="753"/>
      <c r="OAT1" s="753"/>
      <c r="OAU1" s="753"/>
      <c r="OAV1" s="753"/>
      <c r="OAW1" s="753"/>
      <c r="OAX1" s="753"/>
      <c r="OAY1" s="753"/>
      <c r="OAZ1" s="753"/>
      <c r="OBA1" s="753"/>
      <c r="OBB1" s="753"/>
      <c r="OBC1" s="753"/>
      <c r="OBD1" s="753"/>
      <c r="OBE1" s="753"/>
      <c r="OBF1" s="753"/>
      <c r="OBG1" s="753"/>
      <c r="OBH1" s="753"/>
      <c r="OBI1" s="753"/>
      <c r="OBJ1" s="753"/>
      <c r="OBK1" s="753"/>
      <c r="OBL1" s="753"/>
      <c r="OBM1" s="753"/>
      <c r="OBN1" s="753"/>
      <c r="OBO1" s="753"/>
      <c r="OBP1" s="753"/>
      <c r="OBQ1" s="753"/>
      <c r="OBR1" s="753"/>
      <c r="OBS1" s="753"/>
      <c r="OBT1" s="753"/>
      <c r="OBU1" s="753"/>
      <c r="OBV1" s="753"/>
      <c r="OBW1" s="753"/>
      <c r="OBX1" s="753"/>
      <c r="OBY1" s="753"/>
      <c r="OBZ1" s="753"/>
      <c r="OCA1" s="753"/>
      <c r="OCB1" s="753"/>
      <c r="OCC1" s="753"/>
      <c r="OCD1" s="753"/>
      <c r="OCE1" s="753"/>
      <c r="OCF1" s="753"/>
      <c r="OCG1" s="753"/>
      <c r="OCH1" s="753"/>
      <c r="OCI1" s="753"/>
      <c r="OCJ1" s="753"/>
      <c r="OCK1" s="753"/>
      <c r="OCL1" s="753"/>
      <c r="OCM1" s="753"/>
      <c r="OCN1" s="753"/>
      <c r="OCO1" s="753"/>
      <c r="OCP1" s="753"/>
      <c r="OCQ1" s="753"/>
      <c r="OCR1" s="753"/>
      <c r="OCS1" s="753"/>
      <c r="OCT1" s="753"/>
      <c r="OCU1" s="753"/>
      <c r="OCV1" s="753"/>
      <c r="OCW1" s="753"/>
      <c r="OCX1" s="753"/>
      <c r="OCY1" s="753"/>
      <c r="OCZ1" s="753"/>
      <c r="ODA1" s="753"/>
      <c r="ODB1" s="753"/>
      <c r="ODC1" s="753"/>
      <c r="ODD1" s="753"/>
      <c r="ODE1" s="753"/>
      <c r="ODF1" s="753"/>
      <c r="ODG1" s="753"/>
      <c r="ODH1" s="753"/>
      <c r="ODI1" s="753"/>
      <c r="ODJ1" s="753"/>
      <c r="ODK1" s="753"/>
      <c r="ODL1" s="753"/>
      <c r="ODM1" s="753"/>
      <c r="ODN1" s="753"/>
      <c r="ODO1" s="753"/>
      <c r="ODP1" s="753"/>
      <c r="ODQ1" s="753"/>
      <c r="ODR1" s="753"/>
      <c r="ODS1" s="753"/>
      <c r="ODT1" s="753"/>
      <c r="ODU1" s="753"/>
      <c r="ODV1" s="753"/>
      <c r="ODW1" s="753"/>
      <c r="ODX1" s="753"/>
      <c r="ODY1" s="753"/>
      <c r="ODZ1" s="753"/>
      <c r="OEA1" s="753"/>
      <c r="OEB1" s="753"/>
      <c r="OEC1" s="753"/>
      <c r="OED1" s="753"/>
      <c r="OEE1" s="753"/>
      <c r="OEF1" s="753"/>
      <c r="OEG1" s="753"/>
      <c r="OEH1" s="753"/>
      <c r="OEI1" s="753"/>
      <c r="OEJ1" s="753"/>
      <c r="OEK1" s="753"/>
      <c r="OEL1" s="753"/>
      <c r="OEM1" s="753"/>
      <c r="OEN1" s="753"/>
      <c r="OEO1" s="753"/>
      <c r="OEP1" s="753"/>
      <c r="OEQ1" s="753"/>
      <c r="OER1" s="753"/>
      <c r="OES1" s="753"/>
      <c r="OET1" s="753"/>
      <c r="OEU1" s="753"/>
      <c r="OEV1" s="753"/>
      <c r="OEW1" s="753"/>
      <c r="OEX1" s="753"/>
      <c r="OEY1" s="753"/>
      <c r="OEZ1" s="753"/>
      <c r="OFA1" s="753"/>
      <c r="OFB1" s="753"/>
      <c r="OFC1" s="753"/>
      <c r="OFD1" s="753"/>
      <c r="OFE1" s="753"/>
      <c r="OFF1" s="753"/>
      <c r="OFG1" s="753"/>
      <c r="OFH1" s="753"/>
      <c r="OFI1" s="753"/>
      <c r="OFJ1" s="753"/>
      <c r="OFK1" s="753"/>
      <c r="OFL1" s="753"/>
      <c r="OFM1" s="753"/>
      <c r="OFN1" s="753"/>
      <c r="OFO1" s="753"/>
      <c r="OFP1" s="753"/>
      <c r="OFQ1" s="753"/>
      <c r="OFR1" s="753"/>
      <c r="OFS1" s="753"/>
      <c r="OFT1" s="753"/>
      <c r="OFU1" s="753"/>
      <c r="OFV1" s="753"/>
      <c r="OFW1" s="753"/>
      <c r="OFX1" s="753"/>
      <c r="OFY1" s="753"/>
      <c r="OFZ1" s="753"/>
      <c r="OGA1" s="753"/>
      <c r="OGB1" s="753"/>
      <c r="OGC1" s="753"/>
      <c r="OGD1" s="753"/>
      <c r="OGE1" s="753"/>
      <c r="OGF1" s="753"/>
      <c r="OGG1" s="753"/>
      <c r="OGH1" s="753"/>
      <c r="OGI1" s="753"/>
      <c r="OGJ1" s="753"/>
      <c r="OGK1" s="753"/>
      <c r="OGL1" s="753"/>
      <c r="OGM1" s="753"/>
      <c r="OGN1" s="753"/>
      <c r="OGO1" s="753"/>
      <c r="OGP1" s="753"/>
      <c r="OGQ1" s="753"/>
      <c r="OGR1" s="753"/>
      <c r="OGS1" s="753"/>
      <c r="OGT1" s="753"/>
      <c r="OGU1" s="753"/>
      <c r="OGV1" s="753"/>
      <c r="OGW1" s="753"/>
      <c r="OGX1" s="753"/>
      <c r="OGY1" s="753"/>
      <c r="OGZ1" s="753"/>
      <c r="OHA1" s="753"/>
      <c r="OHB1" s="753"/>
      <c r="OHC1" s="753"/>
      <c r="OHD1" s="753"/>
      <c r="OHE1" s="753"/>
      <c r="OHF1" s="753"/>
      <c r="OHG1" s="753"/>
      <c r="OHH1" s="753"/>
      <c r="OHI1" s="753"/>
      <c r="OHJ1" s="753"/>
      <c r="OHK1" s="753"/>
      <c r="OHL1" s="753"/>
      <c r="OHM1" s="753"/>
      <c r="OHN1" s="753"/>
      <c r="OHO1" s="753"/>
      <c r="OHP1" s="753"/>
      <c r="OHQ1" s="753"/>
      <c r="OHR1" s="753"/>
      <c r="OHS1" s="753"/>
      <c r="OHT1" s="753"/>
      <c r="OHU1" s="753"/>
      <c r="OHV1" s="753"/>
      <c r="OHW1" s="753"/>
      <c r="OHX1" s="753"/>
      <c r="OHY1" s="753"/>
      <c r="OHZ1" s="753"/>
      <c r="OIA1" s="753"/>
      <c r="OIB1" s="753"/>
      <c r="OIC1" s="753"/>
      <c r="OID1" s="753"/>
      <c r="OIE1" s="753"/>
      <c r="OIF1" s="753"/>
      <c r="OIG1" s="753"/>
      <c r="OIH1" s="753"/>
      <c r="OII1" s="753"/>
      <c r="OIJ1" s="753"/>
      <c r="OIK1" s="753"/>
      <c r="OIL1" s="753"/>
      <c r="OIM1" s="753"/>
      <c r="OIN1" s="753"/>
      <c r="OIO1" s="753"/>
      <c r="OIP1" s="753"/>
      <c r="OIQ1" s="753"/>
      <c r="OIR1" s="753"/>
      <c r="OIS1" s="753"/>
      <c r="OIT1" s="753"/>
      <c r="OIU1" s="753"/>
      <c r="OIV1" s="753"/>
      <c r="OIW1" s="753"/>
      <c r="OIX1" s="753"/>
      <c r="OIY1" s="753"/>
      <c r="OIZ1" s="753"/>
      <c r="OJA1" s="753"/>
      <c r="OJB1" s="753"/>
      <c r="OJC1" s="753"/>
      <c r="OJD1" s="753"/>
      <c r="OJE1" s="753"/>
      <c r="OJF1" s="753"/>
      <c r="OJG1" s="753"/>
      <c r="OJH1" s="753"/>
      <c r="OJI1" s="753"/>
      <c r="OJJ1" s="753"/>
      <c r="OJK1" s="753"/>
      <c r="OJL1" s="753"/>
      <c r="OJM1" s="753"/>
      <c r="OJN1" s="753"/>
      <c r="OJO1" s="753"/>
      <c r="OJP1" s="753"/>
      <c r="OJQ1" s="753"/>
      <c r="OJR1" s="753"/>
      <c r="OJS1" s="753"/>
      <c r="OJT1" s="753"/>
      <c r="OJU1" s="753"/>
      <c r="OJV1" s="753"/>
      <c r="OJW1" s="753"/>
      <c r="OJX1" s="753"/>
      <c r="OJY1" s="753"/>
      <c r="OJZ1" s="753"/>
      <c r="OKA1" s="753"/>
      <c r="OKB1" s="753"/>
      <c r="OKC1" s="753"/>
      <c r="OKD1" s="753"/>
      <c r="OKE1" s="753"/>
      <c r="OKF1" s="753"/>
      <c r="OKG1" s="753"/>
      <c r="OKH1" s="753"/>
      <c r="OKI1" s="753"/>
      <c r="OKJ1" s="753"/>
      <c r="OKK1" s="753"/>
      <c r="OKL1" s="753"/>
      <c r="OKM1" s="753"/>
      <c r="OKN1" s="753"/>
      <c r="OKO1" s="753"/>
      <c r="OKP1" s="753"/>
      <c r="OKQ1" s="753"/>
      <c r="OKR1" s="753"/>
      <c r="OKS1" s="753"/>
      <c r="OKT1" s="753"/>
      <c r="OKU1" s="753"/>
      <c r="OKV1" s="753"/>
      <c r="OKW1" s="753"/>
      <c r="OKX1" s="753"/>
      <c r="OKY1" s="753"/>
      <c r="OKZ1" s="753"/>
      <c r="OLA1" s="753"/>
      <c r="OLB1" s="753"/>
      <c r="OLC1" s="753"/>
      <c r="OLD1" s="753"/>
      <c r="OLE1" s="753"/>
      <c r="OLF1" s="753"/>
      <c r="OLG1" s="753"/>
      <c r="OLH1" s="753"/>
      <c r="OLI1" s="753"/>
      <c r="OLJ1" s="753"/>
      <c r="OLK1" s="753"/>
      <c r="OLL1" s="753"/>
      <c r="OLM1" s="753"/>
      <c r="OLN1" s="753"/>
      <c r="OLO1" s="753"/>
      <c r="OLP1" s="753"/>
      <c r="OLQ1" s="753"/>
      <c r="OLR1" s="753"/>
      <c r="OLS1" s="753"/>
      <c r="OLT1" s="753"/>
      <c r="OLU1" s="753"/>
      <c r="OLV1" s="753"/>
      <c r="OLW1" s="753"/>
      <c r="OLX1" s="753"/>
      <c r="OLY1" s="753"/>
      <c r="OLZ1" s="753"/>
      <c r="OMA1" s="753"/>
      <c r="OMB1" s="753"/>
      <c r="OMC1" s="753"/>
      <c r="OMD1" s="753"/>
      <c r="OME1" s="753"/>
      <c r="OMF1" s="753"/>
      <c r="OMG1" s="753"/>
      <c r="OMH1" s="753"/>
      <c r="OMI1" s="753"/>
      <c r="OMJ1" s="753"/>
      <c r="OMK1" s="753"/>
      <c r="OML1" s="753"/>
      <c r="OMM1" s="753"/>
      <c r="OMN1" s="753"/>
      <c r="OMO1" s="753"/>
      <c r="OMP1" s="753"/>
      <c r="OMQ1" s="753"/>
      <c r="OMR1" s="753"/>
      <c r="OMS1" s="753"/>
      <c r="OMT1" s="753"/>
      <c r="OMU1" s="753"/>
      <c r="OMV1" s="753"/>
      <c r="OMW1" s="753"/>
      <c r="OMX1" s="753"/>
      <c r="OMY1" s="753"/>
      <c r="OMZ1" s="753"/>
      <c r="ONA1" s="753"/>
      <c r="ONB1" s="753"/>
      <c r="ONC1" s="753"/>
      <c r="OND1" s="753"/>
      <c r="ONE1" s="753"/>
      <c r="ONF1" s="753"/>
      <c r="ONG1" s="753"/>
      <c r="ONH1" s="753"/>
      <c r="ONI1" s="753"/>
      <c r="ONJ1" s="753"/>
      <c r="ONK1" s="753"/>
      <c r="ONL1" s="753"/>
      <c r="ONM1" s="753"/>
      <c r="ONN1" s="753"/>
      <c r="ONO1" s="753"/>
      <c r="ONP1" s="753"/>
      <c r="ONQ1" s="753"/>
      <c r="ONR1" s="753"/>
      <c r="ONS1" s="753"/>
      <c r="ONT1" s="753"/>
      <c r="ONU1" s="753"/>
      <c r="ONV1" s="753"/>
      <c r="ONW1" s="753"/>
      <c r="ONX1" s="753"/>
      <c r="ONY1" s="753"/>
      <c r="ONZ1" s="753"/>
      <c r="OOA1" s="753"/>
      <c r="OOB1" s="753"/>
      <c r="OOC1" s="753"/>
      <c r="OOD1" s="753"/>
      <c r="OOE1" s="753"/>
      <c r="OOF1" s="753"/>
      <c r="OOG1" s="753"/>
      <c r="OOH1" s="753"/>
      <c r="OOI1" s="753"/>
      <c r="OOJ1" s="753"/>
      <c r="OOK1" s="753"/>
      <c r="OOL1" s="753"/>
      <c r="OOM1" s="753"/>
      <c r="OON1" s="753"/>
      <c r="OOO1" s="753"/>
      <c r="OOP1" s="753"/>
      <c r="OOQ1" s="753"/>
      <c r="OOR1" s="753"/>
      <c r="OOS1" s="753"/>
      <c r="OOT1" s="753"/>
      <c r="OOU1" s="753"/>
      <c r="OOV1" s="753"/>
      <c r="OOW1" s="753"/>
      <c r="OOX1" s="753"/>
      <c r="OOY1" s="753"/>
      <c r="OOZ1" s="753"/>
      <c r="OPA1" s="753"/>
      <c r="OPB1" s="753"/>
      <c r="OPC1" s="753"/>
      <c r="OPD1" s="753"/>
      <c r="OPE1" s="753"/>
      <c r="OPF1" s="753"/>
      <c r="OPG1" s="753"/>
      <c r="OPH1" s="753"/>
      <c r="OPI1" s="753"/>
      <c r="OPJ1" s="753"/>
      <c r="OPK1" s="753"/>
      <c r="OPL1" s="753"/>
      <c r="OPM1" s="753"/>
      <c r="OPN1" s="753"/>
      <c r="OPO1" s="753"/>
      <c r="OPP1" s="753"/>
      <c r="OPQ1" s="753"/>
      <c r="OPR1" s="753"/>
      <c r="OPS1" s="753"/>
      <c r="OPT1" s="753"/>
      <c r="OPU1" s="753"/>
      <c r="OPV1" s="753"/>
      <c r="OPW1" s="753"/>
      <c r="OPX1" s="753"/>
      <c r="OPY1" s="753"/>
      <c r="OPZ1" s="753"/>
      <c r="OQA1" s="753"/>
      <c r="OQB1" s="753"/>
      <c r="OQC1" s="753"/>
      <c r="OQD1" s="753"/>
      <c r="OQE1" s="753"/>
      <c r="OQF1" s="753"/>
      <c r="OQG1" s="753"/>
      <c r="OQH1" s="753"/>
      <c r="OQI1" s="753"/>
      <c r="OQJ1" s="753"/>
      <c r="OQK1" s="753"/>
      <c r="OQL1" s="753"/>
      <c r="OQM1" s="753"/>
      <c r="OQN1" s="753"/>
      <c r="OQO1" s="753"/>
      <c r="OQP1" s="753"/>
      <c r="OQQ1" s="753"/>
      <c r="OQR1" s="753"/>
      <c r="OQS1" s="753"/>
      <c r="OQT1" s="753"/>
      <c r="OQU1" s="753"/>
      <c r="OQV1" s="753"/>
      <c r="OQW1" s="753"/>
      <c r="OQX1" s="753"/>
      <c r="OQY1" s="753"/>
      <c r="OQZ1" s="753"/>
      <c r="ORA1" s="753"/>
      <c r="ORB1" s="753"/>
      <c r="ORC1" s="753"/>
      <c r="ORD1" s="753"/>
      <c r="ORE1" s="753"/>
      <c r="ORF1" s="753"/>
      <c r="ORG1" s="753"/>
      <c r="ORH1" s="753"/>
      <c r="ORI1" s="753"/>
      <c r="ORJ1" s="753"/>
      <c r="ORK1" s="753"/>
      <c r="ORL1" s="753"/>
      <c r="ORM1" s="753"/>
      <c r="ORN1" s="753"/>
      <c r="ORO1" s="753"/>
      <c r="ORP1" s="753"/>
      <c r="ORQ1" s="753"/>
      <c r="ORR1" s="753"/>
      <c r="ORS1" s="753"/>
      <c r="ORT1" s="753"/>
      <c r="ORU1" s="753"/>
      <c r="ORV1" s="753"/>
      <c r="ORW1" s="753"/>
      <c r="ORX1" s="753"/>
      <c r="ORY1" s="753"/>
      <c r="ORZ1" s="753"/>
      <c r="OSA1" s="753"/>
      <c r="OSB1" s="753"/>
      <c r="OSC1" s="753"/>
      <c r="OSD1" s="753"/>
      <c r="OSE1" s="753"/>
      <c r="OSF1" s="753"/>
      <c r="OSG1" s="753"/>
      <c r="OSH1" s="753"/>
      <c r="OSI1" s="753"/>
      <c r="OSJ1" s="753"/>
      <c r="OSK1" s="753"/>
      <c r="OSL1" s="753"/>
      <c r="OSM1" s="753"/>
      <c r="OSN1" s="753"/>
      <c r="OSO1" s="753"/>
      <c r="OSP1" s="753"/>
      <c r="OSQ1" s="753"/>
      <c r="OSR1" s="753"/>
      <c r="OSS1" s="753"/>
      <c r="OST1" s="753"/>
      <c r="OSU1" s="753"/>
      <c r="OSV1" s="753"/>
      <c r="OSW1" s="753"/>
      <c r="OSX1" s="753"/>
      <c r="OSY1" s="753"/>
      <c r="OSZ1" s="753"/>
      <c r="OTA1" s="753"/>
      <c r="OTB1" s="753"/>
      <c r="OTC1" s="753"/>
      <c r="OTD1" s="753"/>
      <c r="OTE1" s="753"/>
      <c r="OTF1" s="753"/>
      <c r="OTG1" s="753"/>
      <c r="OTH1" s="753"/>
      <c r="OTI1" s="753"/>
      <c r="OTJ1" s="753"/>
      <c r="OTK1" s="753"/>
      <c r="OTL1" s="753"/>
      <c r="OTM1" s="753"/>
      <c r="OTN1" s="753"/>
      <c r="OTO1" s="753"/>
      <c r="OTP1" s="753"/>
      <c r="OTQ1" s="753"/>
      <c r="OTR1" s="753"/>
      <c r="OTS1" s="753"/>
      <c r="OTT1" s="753"/>
      <c r="OTU1" s="753"/>
      <c r="OTV1" s="753"/>
      <c r="OTW1" s="753"/>
      <c r="OTX1" s="753"/>
      <c r="OTY1" s="753"/>
      <c r="OTZ1" s="753"/>
      <c r="OUA1" s="753"/>
      <c r="OUB1" s="753"/>
      <c r="OUC1" s="753"/>
      <c r="OUD1" s="753"/>
      <c r="OUE1" s="753"/>
      <c r="OUF1" s="753"/>
      <c r="OUG1" s="753"/>
      <c r="OUH1" s="753"/>
      <c r="OUI1" s="753"/>
      <c r="OUJ1" s="753"/>
      <c r="OUK1" s="753"/>
      <c r="OUL1" s="753"/>
      <c r="OUM1" s="753"/>
      <c r="OUN1" s="753"/>
      <c r="OUO1" s="753"/>
      <c r="OUP1" s="753"/>
      <c r="OUQ1" s="753"/>
      <c r="OUR1" s="753"/>
      <c r="OUS1" s="753"/>
      <c r="OUT1" s="753"/>
      <c r="OUU1" s="753"/>
      <c r="OUV1" s="753"/>
      <c r="OUW1" s="753"/>
      <c r="OUX1" s="753"/>
      <c r="OUY1" s="753"/>
      <c r="OUZ1" s="753"/>
      <c r="OVA1" s="753"/>
      <c r="OVB1" s="753"/>
      <c r="OVC1" s="753"/>
      <c r="OVD1" s="753"/>
      <c r="OVE1" s="753"/>
      <c r="OVF1" s="753"/>
      <c r="OVG1" s="753"/>
      <c r="OVH1" s="753"/>
      <c r="OVI1" s="753"/>
      <c r="OVJ1" s="753"/>
      <c r="OVK1" s="753"/>
      <c r="OVL1" s="753"/>
      <c r="OVM1" s="753"/>
      <c r="OVN1" s="753"/>
      <c r="OVO1" s="753"/>
      <c r="OVP1" s="753"/>
      <c r="OVQ1" s="753"/>
      <c r="OVR1" s="753"/>
      <c r="OVS1" s="753"/>
      <c r="OVT1" s="753"/>
      <c r="OVU1" s="753"/>
      <c r="OVV1" s="753"/>
      <c r="OVW1" s="753"/>
      <c r="OVX1" s="753"/>
      <c r="OVY1" s="753"/>
      <c r="OVZ1" s="753"/>
      <c r="OWA1" s="753"/>
      <c r="OWB1" s="753"/>
      <c r="OWC1" s="753"/>
      <c r="OWD1" s="753"/>
      <c r="OWE1" s="753"/>
      <c r="OWF1" s="753"/>
      <c r="OWG1" s="753"/>
      <c r="OWH1" s="753"/>
      <c r="OWI1" s="753"/>
      <c r="OWJ1" s="753"/>
      <c r="OWK1" s="753"/>
      <c r="OWL1" s="753"/>
      <c r="OWM1" s="753"/>
      <c r="OWN1" s="753"/>
      <c r="OWO1" s="753"/>
      <c r="OWP1" s="753"/>
      <c r="OWQ1" s="753"/>
      <c r="OWR1" s="753"/>
      <c r="OWS1" s="753"/>
      <c r="OWT1" s="753"/>
      <c r="OWU1" s="753"/>
      <c r="OWV1" s="753"/>
      <c r="OWW1" s="753"/>
      <c r="OWX1" s="753"/>
      <c r="OWY1" s="753"/>
      <c r="OWZ1" s="753"/>
      <c r="OXA1" s="753"/>
      <c r="OXB1" s="753"/>
      <c r="OXC1" s="753"/>
      <c r="OXD1" s="753"/>
      <c r="OXE1" s="753"/>
      <c r="OXF1" s="753"/>
      <c r="OXG1" s="753"/>
      <c r="OXH1" s="753"/>
      <c r="OXI1" s="753"/>
      <c r="OXJ1" s="753"/>
      <c r="OXK1" s="753"/>
      <c r="OXL1" s="753"/>
      <c r="OXM1" s="753"/>
      <c r="OXN1" s="753"/>
      <c r="OXO1" s="753"/>
      <c r="OXP1" s="753"/>
      <c r="OXQ1" s="753"/>
      <c r="OXR1" s="753"/>
      <c r="OXS1" s="753"/>
      <c r="OXT1" s="753"/>
      <c r="OXU1" s="753"/>
      <c r="OXV1" s="753"/>
      <c r="OXW1" s="753"/>
      <c r="OXX1" s="753"/>
      <c r="OXY1" s="753"/>
      <c r="OXZ1" s="753"/>
      <c r="OYA1" s="753"/>
      <c r="OYB1" s="753"/>
      <c r="OYC1" s="753"/>
      <c r="OYD1" s="753"/>
      <c r="OYE1" s="753"/>
      <c r="OYF1" s="753"/>
      <c r="OYG1" s="753"/>
      <c r="OYH1" s="753"/>
      <c r="OYI1" s="753"/>
      <c r="OYJ1" s="753"/>
      <c r="OYK1" s="753"/>
      <c r="OYL1" s="753"/>
      <c r="OYM1" s="753"/>
      <c r="OYN1" s="753"/>
      <c r="OYO1" s="753"/>
      <c r="OYP1" s="753"/>
      <c r="OYQ1" s="753"/>
      <c r="OYR1" s="753"/>
      <c r="OYS1" s="753"/>
      <c r="OYT1" s="753"/>
      <c r="OYU1" s="753"/>
      <c r="OYV1" s="753"/>
      <c r="OYW1" s="753"/>
      <c r="OYX1" s="753"/>
      <c r="OYY1" s="753"/>
      <c r="OYZ1" s="753"/>
      <c r="OZA1" s="753"/>
      <c r="OZB1" s="753"/>
      <c r="OZC1" s="753"/>
      <c r="OZD1" s="753"/>
      <c r="OZE1" s="753"/>
      <c r="OZF1" s="753"/>
      <c r="OZG1" s="753"/>
      <c r="OZH1" s="753"/>
      <c r="OZI1" s="753"/>
      <c r="OZJ1" s="753"/>
      <c r="OZK1" s="753"/>
      <c r="OZL1" s="753"/>
      <c r="OZM1" s="753"/>
      <c r="OZN1" s="753"/>
      <c r="OZO1" s="753"/>
      <c r="OZP1" s="753"/>
      <c r="OZQ1" s="753"/>
      <c r="OZR1" s="753"/>
      <c r="OZS1" s="753"/>
      <c r="OZT1" s="753"/>
      <c r="OZU1" s="753"/>
      <c r="OZV1" s="753"/>
      <c r="OZW1" s="753"/>
      <c r="OZX1" s="753"/>
      <c r="OZY1" s="753"/>
      <c r="OZZ1" s="753"/>
      <c r="PAA1" s="753"/>
      <c r="PAB1" s="753"/>
      <c r="PAC1" s="753"/>
      <c r="PAD1" s="753"/>
      <c r="PAE1" s="753"/>
      <c r="PAF1" s="753"/>
      <c r="PAG1" s="753"/>
      <c r="PAH1" s="753"/>
      <c r="PAI1" s="753"/>
      <c r="PAJ1" s="753"/>
      <c r="PAK1" s="753"/>
      <c r="PAL1" s="753"/>
      <c r="PAM1" s="753"/>
      <c r="PAN1" s="753"/>
      <c r="PAO1" s="753"/>
      <c r="PAP1" s="753"/>
      <c r="PAQ1" s="753"/>
      <c r="PAR1" s="753"/>
      <c r="PAS1" s="753"/>
      <c r="PAT1" s="753"/>
      <c r="PAU1" s="753"/>
      <c r="PAV1" s="753"/>
      <c r="PAW1" s="753"/>
      <c r="PAX1" s="753"/>
      <c r="PAY1" s="753"/>
      <c r="PAZ1" s="753"/>
      <c r="PBA1" s="753"/>
      <c r="PBB1" s="753"/>
      <c r="PBC1" s="753"/>
      <c r="PBD1" s="753"/>
      <c r="PBE1" s="753"/>
      <c r="PBF1" s="753"/>
      <c r="PBG1" s="753"/>
      <c r="PBH1" s="753"/>
      <c r="PBI1" s="753"/>
      <c r="PBJ1" s="753"/>
      <c r="PBK1" s="753"/>
      <c r="PBL1" s="753"/>
      <c r="PBM1" s="753"/>
      <c r="PBN1" s="753"/>
      <c r="PBO1" s="753"/>
      <c r="PBP1" s="753"/>
      <c r="PBQ1" s="753"/>
      <c r="PBR1" s="753"/>
      <c r="PBS1" s="753"/>
      <c r="PBT1" s="753"/>
      <c r="PBU1" s="753"/>
      <c r="PBV1" s="753"/>
      <c r="PBW1" s="753"/>
      <c r="PBX1" s="753"/>
      <c r="PBY1" s="753"/>
      <c r="PBZ1" s="753"/>
      <c r="PCA1" s="753"/>
      <c r="PCB1" s="753"/>
      <c r="PCC1" s="753"/>
      <c r="PCD1" s="753"/>
      <c r="PCE1" s="753"/>
      <c r="PCF1" s="753"/>
      <c r="PCG1" s="753"/>
      <c r="PCH1" s="753"/>
      <c r="PCI1" s="753"/>
      <c r="PCJ1" s="753"/>
      <c r="PCK1" s="753"/>
      <c r="PCL1" s="753"/>
      <c r="PCM1" s="753"/>
      <c r="PCN1" s="753"/>
      <c r="PCO1" s="753"/>
      <c r="PCP1" s="753"/>
      <c r="PCQ1" s="753"/>
      <c r="PCR1" s="753"/>
      <c r="PCS1" s="753"/>
      <c r="PCT1" s="753"/>
      <c r="PCU1" s="753"/>
      <c r="PCV1" s="753"/>
      <c r="PCW1" s="753"/>
      <c r="PCX1" s="753"/>
      <c r="PCY1" s="753"/>
      <c r="PCZ1" s="753"/>
      <c r="PDA1" s="753"/>
      <c r="PDB1" s="753"/>
      <c r="PDC1" s="753"/>
      <c r="PDD1" s="753"/>
      <c r="PDE1" s="753"/>
      <c r="PDF1" s="753"/>
      <c r="PDG1" s="753"/>
      <c r="PDH1" s="753"/>
      <c r="PDI1" s="753"/>
      <c r="PDJ1" s="753"/>
      <c r="PDK1" s="753"/>
      <c r="PDL1" s="753"/>
      <c r="PDM1" s="753"/>
      <c r="PDN1" s="753"/>
      <c r="PDO1" s="753"/>
      <c r="PDP1" s="753"/>
      <c r="PDQ1" s="753"/>
      <c r="PDR1" s="753"/>
      <c r="PDS1" s="753"/>
      <c r="PDT1" s="753"/>
      <c r="PDU1" s="753"/>
      <c r="PDV1" s="753"/>
      <c r="PDW1" s="753"/>
      <c r="PDX1" s="753"/>
      <c r="PDY1" s="753"/>
      <c r="PDZ1" s="753"/>
      <c r="PEA1" s="753"/>
      <c r="PEB1" s="753"/>
      <c r="PEC1" s="753"/>
      <c r="PED1" s="753"/>
      <c r="PEE1" s="753"/>
      <c r="PEF1" s="753"/>
      <c r="PEG1" s="753"/>
      <c r="PEH1" s="753"/>
      <c r="PEI1" s="753"/>
      <c r="PEJ1" s="753"/>
      <c r="PEK1" s="753"/>
      <c r="PEL1" s="753"/>
      <c r="PEM1" s="753"/>
      <c r="PEN1" s="753"/>
      <c r="PEO1" s="753"/>
      <c r="PEP1" s="753"/>
      <c r="PEQ1" s="753"/>
      <c r="PER1" s="753"/>
      <c r="PES1" s="753"/>
      <c r="PET1" s="753"/>
      <c r="PEU1" s="753"/>
      <c r="PEV1" s="753"/>
      <c r="PEW1" s="753"/>
      <c r="PEX1" s="753"/>
      <c r="PEY1" s="753"/>
      <c r="PEZ1" s="753"/>
      <c r="PFA1" s="753"/>
      <c r="PFB1" s="753"/>
      <c r="PFC1" s="753"/>
      <c r="PFD1" s="753"/>
      <c r="PFE1" s="753"/>
      <c r="PFF1" s="753"/>
      <c r="PFG1" s="753"/>
      <c r="PFH1" s="753"/>
      <c r="PFI1" s="753"/>
      <c r="PFJ1" s="753"/>
      <c r="PFK1" s="753"/>
      <c r="PFL1" s="753"/>
      <c r="PFM1" s="753"/>
      <c r="PFN1" s="753"/>
      <c r="PFO1" s="753"/>
      <c r="PFP1" s="753"/>
      <c r="PFQ1" s="753"/>
      <c r="PFR1" s="753"/>
      <c r="PFS1" s="753"/>
      <c r="PFT1" s="753"/>
      <c r="PFU1" s="753"/>
      <c r="PFV1" s="753"/>
      <c r="PFW1" s="753"/>
      <c r="PFX1" s="753"/>
      <c r="PFY1" s="753"/>
      <c r="PFZ1" s="753"/>
      <c r="PGA1" s="753"/>
      <c r="PGB1" s="753"/>
      <c r="PGC1" s="753"/>
      <c r="PGD1" s="753"/>
      <c r="PGE1" s="753"/>
      <c r="PGF1" s="753"/>
      <c r="PGG1" s="753"/>
      <c r="PGH1" s="753"/>
      <c r="PGI1" s="753"/>
      <c r="PGJ1" s="753"/>
      <c r="PGK1" s="753"/>
      <c r="PGL1" s="753"/>
      <c r="PGM1" s="753"/>
      <c r="PGN1" s="753"/>
      <c r="PGO1" s="753"/>
      <c r="PGP1" s="753"/>
      <c r="PGQ1" s="753"/>
      <c r="PGR1" s="753"/>
      <c r="PGS1" s="753"/>
      <c r="PGT1" s="753"/>
      <c r="PGU1" s="753"/>
      <c r="PGV1" s="753"/>
      <c r="PGW1" s="753"/>
      <c r="PGX1" s="753"/>
      <c r="PGY1" s="753"/>
      <c r="PGZ1" s="753"/>
      <c r="PHA1" s="753"/>
      <c r="PHB1" s="753"/>
      <c r="PHC1" s="753"/>
      <c r="PHD1" s="753"/>
      <c r="PHE1" s="753"/>
      <c r="PHF1" s="753"/>
      <c r="PHG1" s="753"/>
      <c r="PHH1" s="753"/>
      <c r="PHI1" s="753"/>
      <c r="PHJ1" s="753"/>
      <c r="PHK1" s="753"/>
      <c r="PHL1" s="753"/>
      <c r="PHM1" s="753"/>
      <c r="PHN1" s="753"/>
      <c r="PHO1" s="753"/>
      <c r="PHP1" s="753"/>
      <c r="PHQ1" s="753"/>
      <c r="PHR1" s="753"/>
      <c r="PHS1" s="753"/>
      <c r="PHT1" s="753"/>
      <c r="PHU1" s="753"/>
      <c r="PHV1" s="753"/>
      <c r="PHW1" s="753"/>
      <c r="PHX1" s="753"/>
      <c r="PHY1" s="753"/>
      <c r="PHZ1" s="753"/>
      <c r="PIA1" s="753"/>
      <c r="PIB1" s="753"/>
      <c r="PIC1" s="753"/>
      <c r="PID1" s="753"/>
      <c r="PIE1" s="753"/>
      <c r="PIF1" s="753"/>
      <c r="PIG1" s="753"/>
      <c r="PIH1" s="753"/>
      <c r="PII1" s="753"/>
      <c r="PIJ1" s="753"/>
      <c r="PIK1" s="753"/>
      <c r="PIL1" s="753"/>
      <c r="PIM1" s="753"/>
      <c r="PIN1" s="753"/>
      <c r="PIO1" s="753"/>
      <c r="PIP1" s="753"/>
      <c r="PIQ1" s="753"/>
      <c r="PIR1" s="753"/>
      <c r="PIS1" s="753"/>
      <c r="PIT1" s="753"/>
      <c r="PIU1" s="753"/>
      <c r="PIV1" s="753"/>
      <c r="PIW1" s="753"/>
      <c r="PIX1" s="753"/>
      <c r="PIY1" s="753"/>
      <c r="PIZ1" s="753"/>
      <c r="PJA1" s="753"/>
      <c r="PJB1" s="753"/>
      <c r="PJC1" s="753"/>
      <c r="PJD1" s="753"/>
      <c r="PJE1" s="753"/>
      <c r="PJF1" s="753"/>
      <c r="PJG1" s="753"/>
      <c r="PJH1" s="753"/>
      <c r="PJI1" s="753"/>
      <c r="PJJ1" s="753"/>
      <c r="PJK1" s="753"/>
      <c r="PJL1" s="753"/>
      <c r="PJM1" s="753"/>
      <c r="PJN1" s="753"/>
      <c r="PJO1" s="753"/>
      <c r="PJP1" s="753"/>
      <c r="PJQ1" s="753"/>
      <c r="PJR1" s="753"/>
      <c r="PJS1" s="753"/>
      <c r="PJT1" s="753"/>
      <c r="PJU1" s="753"/>
      <c r="PJV1" s="753"/>
      <c r="PJW1" s="753"/>
      <c r="PJX1" s="753"/>
      <c r="PJY1" s="753"/>
      <c r="PJZ1" s="753"/>
      <c r="PKA1" s="753"/>
      <c r="PKB1" s="753"/>
      <c r="PKC1" s="753"/>
      <c r="PKD1" s="753"/>
      <c r="PKE1" s="753"/>
      <c r="PKF1" s="753"/>
      <c r="PKG1" s="753"/>
      <c r="PKH1" s="753"/>
      <c r="PKI1" s="753"/>
      <c r="PKJ1" s="753"/>
      <c r="PKK1" s="753"/>
      <c r="PKL1" s="753"/>
      <c r="PKM1" s="753"/>
      <c r="PKN1" s="753"/>
      <c r="PKO1" s="753"/>
      <c r="PKP1" s="753"/>
      <c r="PKQ1" s="753"/>
      <c r="PKR1" s="753"/>
      <c r="PKS1" s="753"/>
      <c r="PKT1" s="753"/>
      <c r="PKU1" s="753"/>
      <c r="PKV1" s="753"/>
      <c r="PKW1" s="753"/>
      <c r="PKX1" s="753"/>
      <c r="PKY1" s="753"/>
      <c r="PKZ1" s="753"/>
      <c r="PLA1" s="753"/>
      <c r="PLB1" s="753"/>
      <c r="PLC1" s="753"/>
      <c r="PLD1" s="753"/>
      <c r="PLE1" s="753"/>
      <c r="PLF1" s="753"/>
      <c r="PLG1" s="753"/>
      <c r="PLH1" s="753"/>
      <c r="PLI1" s="753"/>
      <c r="PLJ1" s="753"/>
      <c r="PLK1" s="753"/>
      <c r="PLL1" s="753"/>
      <c r="PLM1" s="753"/>
      <c r="PLN1" s="753"/>
      <c r="PLO1" s="753"/>
      <c r="PLP1" s="753"/>
      <c r="PLQ1" s="753"/>
      <c r="PLR1" s="753"/>
      <c r="PLS1" s="753"/>
      <c r="PLT1" s="753"/>
      <c r="PLU1" s="753"/>
      <c r="PLV1" s="753"/>
      <c r="PLW1" s="753"/>
      <c r="PLX1" s="753"/>
      <c r="PLY1" s="753"/>
      <c r="PLZ1" s="753"/>
      <c r="PMA1" s="753"/>
      <c r="PMB1" s="753"/>
      <c r="PMC1" s="753"/>
      <c r="PMD1" s="753"/>
      <c r="PME1" s="753"/>
      <c r="PMF1" s="753"/>
      <c r="PMG1" s="753"/>
      <c r="PMH1" s="753"/>
      <c r="PMI1" s="753"/>
      <c r="PMJ1" s="753"/>
      <c r="PMK1" s="753"/>
      <c r="PML1" s="753"/>
      <c r="PMM1" s="753"/>
      <c r="PMN1" s="753"/>
      <c r="PMO1" s="753"/>
      <c r="PMP1" s="753"/>
      <c r="PMQ1" s="753"/>
      <c r="PMR1" s="753"/>
      <c r="PMS1" s="753"/>
      <c r="PMT1" s="753"/>
      <c r="PMU1" s="753"/>
      <c r="PMV1" s="753"/>
      <c r="PMW1" s="753"/>
      <c r="PMX1" s="753"/>
      <c r="PMY1" s="753"/>
      <c r="PMZ1" s="753"/>
      <c r="PNA1" s="753"/>
      <c r="PNB1" s="753"/>
      <c r="PNC1" s="753"/>
      <c r="PND1" s="753"/>
      <c r="PNE1" s="753"/>
      <c r="PNF1" s="753"/>
      <c r="PNG1" s="753"/>
      <c r="PNH1" s="753"/>
      <c r="PNI1" s="753"/>
      <c r="PNJ1" s="753"/>
      <c r="PNK1" s="753"/>
      <c r="PNL1" s="753"/>
      <c r="PNM1" s="753"/>
      <c r="PNN1" s="753"/>
      <c r="PNO1" s="753"/>
      <c r="PNP1" s="753"/>
      <c r="PNQ1" s="753"/>
      <c r="PNR1" s="753"/>
      <c r="PNS1" s="753"/>
      <c r="PNT1" s="753"/>
      <c r="PNU1" s="753"/>
      <c r="PNV1" s="753"/>
      <c r="PNW1" s="753"/>
      <c r="PNX1" s="753"/>
      <c r="PNY1" s="753"/>
      <c r="PNZ1" s="753"/>
      <c r="POA1" s="753"/>
      <c r="POB1" s="753"/>
      <c r="POC1" s="753"/>
      <c r="POD1" s="753"/>
      <c r="POE1" s="753"/>
      <c r="POF1" s="753"/>
      <c r="POG1" s="753"/>
      <c r="POH1" s="753"/>
      <c r="POI1" s="753"/>
      <c r="POJ1" s="753"/>
      <c r="POK1" s="753"/>
      <c r="POL1" s="753"/>
      <c r="POM1" s="753"/>
      <c r="PON1" s="753"/>
      <c r="POO1" s="753"/>
      <c r="POP1" s="753"/>
      <c r="POQ1" s="753"/>
      <c r="POR1" s="753"/>
      <c r="POS1" s="753"/>
      <c r="POT1" s="753"/>
      <c r="POU1" s="753"/>
      <c r="POV1" s="753"/>
      <c r="POW1" s="753"/>
      <c r="POX1" s="753"/>
      <c r="POY1" s="753"/>
      <c r="POZ1" s="753"/>
      <c r="PPA1" s="753"/>
      <c r="PPB1" s="753"/>
      <c r="PPC1" s="753"/>
      <c r="PPD1" s="753"/>
      <c r="PPE1" s="753"/>
      <c r="PPF1" s="753"/>
      <c r="PPG1" s="753"/>
      <c r="PPH1" s="753"/>
      <c r="PPI1" s="753"/>
      <c r="PPJ1" s="753"/>
      <c r="PPK1" s="753"/>
      <c r="PPL1" s="753"/>
      <c r="PPM1" s="753"/>
      <c r="PPN1" s="753"/>
      <c r="PPO1" s="753"/>
      <c r="PPP1" s="753"/>
      <c r="PPQ1" s="753"/>
      <c r="PPR1" s="753"/>
      <c r="PPS1" s="753"/>
      <c r="PPT1" s="753"/>
      <c r="PPU1" s="753"/>
      <c r="PPV1" s="753"/>
      <c r="PPW1" s="753"/>
      <c r="PPX1" s="753"/>
      <c r="PPY1" s="753"/>
      <c r="PPZ1" s="753"/>
      <c r="PQA1" s="753"/>
      <c r="PQB1" s="753"/>
      <c r="PQC1" s="753"/>
      <c r="PQD1" s="753"/>
      <c r="PQE1" s="753"/>
      <c r="PQF1" s="753"/>
      <c r="PQG1" s="753"/>
      <c r="PQH1" s="753"/>
      <c r="PQI1" s="753"/>
      <c r="PQJ1" s="753"/>
      <c r="PQK1" s="753"/>
      <c r="PQL1" s="753"/>
      <c r="PQM1" s="753"/>
      <c r="PQN1" s="753"/>
      <c r="PQO1" s="753"/>
      <c r="PQP1" s="753"/>
      <c r="PQQ1" s="753"/>
      <c r="PQR1" s="753"/>
      <c r="PQS1" s="753"/>
      <c r="PQT1" s="753"/>
      <c r="PQU1" s="753"/>
      <c r="PQV1" s="753"/>
      <c r="PQW1" s="753"/>
      <c r="PQX1" s="753"/>
      <c r="PQY1" s="753"/>
      <c r="PQZ1" s="753"/>
      <c r="PRA1" s="753"/>
      <c r="PRB1" s="753"/>
      <c r="PRC1" s="753"/>
      <c r="PRD1" s="753"/>
      <c r="PRE1" s="753"/>
      <c r="PRF1" s="753"/>
      <c r="PRG1" s="753"/>
      <c r="PRH1" s="753"/>
      <c r="PRI1" s="753"/>
      <c r="PRJ1" s="753"/>
      <c r="PRK1" s="753"/>
      <c r="PRL1" s="753"/>
      <c r="PRM1" s="753"/>
      <c r="PRN1" s="753"/>
      <c r="PRO1" s="753"/>
      <c r="PRP1" s="753"/>
      <c r="PRQ1" s="753"/>
      <c r="PRR1" s="753"/>
      <c r="PRS1" s="753"/>
      <c r="PRT1" s="753"/>
      <c r="PRU1" s="753"/>
      <c r="PRV1" s="753"/>
      <c r="PRW1" s="753"/>
      <c r="PRX1" s="753"/>
      <c r="PRY1" s="753"/>
      <c r="PRZ1" s="753"/>
      <c r="PSA1" s="753"/>
      <c r="PSB1" s="753"/>
      <c r="PSC1" s="753"/>
      <c r="PSD1" s="753"/>
      <c r="PSE1" s="753"/>
      <c r="PSF1" s="753"/>
      <c r="PSG1" s="753"/>
      <c r="PSH1" s="753"/>
      <c r="PSI1" s="753"/>
      <c r="PSJ1" s="753"/>
      <c r="PSK1" s="753"/>
      <c r="PSL1" s="753"/>
      <c r="PSM1" s="753"/>
      <c r="PSN1" s="753"/>
      <c r="PSO1" s="753"/>
      <c r="PSP1" s="753"/>
      <c r="PSQ1" s="753"/>
      <c r="PSR1" s="753"/>
      <c r="PSS1" s="753"/>
      <c r="PST1" s="753"/>
      <c r="PSU1" s="753"/>
      <c r="PSV1" s="753"/>
      <c r="PSW1" s="753"/>
      <c r="PSX1" s="753"/>
      <c r="PSY1" s="753"/>
      <c r="PSZ1" s="753"/>
      <c r="PTA1" s="753"/>
      <c r="PTB1" s="753"/>
      <c r="PTC1" s="753"/>
      <c r="PTD1" s="753"/>
      <c r="PTE1" s="753"/>
      <c r="PTF1" s="753"/>
      <c r="PTG1" s="753"/>
      <c r="PTH1" s="753"/>
      <c r="PTI1" s="753"/>
      <c r="PTJ1" s="753"/>
      <c r="PTK1" s="753"/>
      <c r="PTL1" s="753"/>
      <c r="PTM1" s="753"/>
      <c r="PTN1" s="753"/>
      <c r="PTO1" s="753"/>
      <c r="PTP1" s="753"/>
      <c r="PTQ1" s="753"/>
      <c r="PTR1" s="753"/>
      <c r="PTS1" s="753"/>
      <c r="PTT1" s="753"/>
      <c r="PTU1" s="753"/>
      <c r="PTV1" s="753"/>
      <c r="PTW1" s="753"/>
      <c r="PTX1" s="753"/>
      <c r="PTY1" s="753"/>
      <c r="PTZ1" s="753"/>
      <c r="PUA1" s="753"/>
      <c r="PUB1" s="753"/>
      <c r="PUC1" s="753"/>
      <c r="PUD1" s="753"/>
      <c r="PUE1" s="753"/>
      <c r="PUF1" s="753"/>
      <c r="PUG1" s="753"/>
      <c r="PUH1" s="753"/>
      <c r="PUI1" s="753"/>
      <c r="PUJ1" s="753"/>
      <c r="PUK1" s="753"/>
      <c r="PUL1" s="753"/>
      <c r="PUM1" s="753"/>
      <c r="PUN1" s="753"/>
      <c r="PUO1" s="753"/>
      <c r="PUP1" s="753"/>
      <c r="PUQ1" s="753"/>
      <c r="PUR1" s="753"/>
      <c r="PUS1" s="753"/>
      <c r="PUT1" s="753"/>
      <c r="PUU1" s="753"/>
      <c r="PUV1" s="753"/>
      <c r="PUW1" s="753"/>
      <c r="PUX1" s="753"/>
      <c r="PUY1" s="753"/>
      <c r="PUZ1" s="753"/>
      <c r="PVA1" s="753"/>
      <c r="PVB1" s="753"/>
      <c r="PVC1" s="753"/>
      <c r="PVD1" s="753"/>
      <c r="PVE1" s="753"/>
      <c r="PVF1" s="753"/>
      <c r="PVG1" s="753"/>
      <c r="PVH1" s="753"/>
      <c r="PVI1" s="753"/>
      <c r="PVJ1" s="753"/>
      <c r="PVK1" s="753"/>
      <c r="PVL1" s="753"/>
      <c r="PVM1" s="753"/>
      <c r="PVN1" s="753"/>
      <c r="PVO1" s="753"/>
      <c r="PVP1" s="753"/>
      <c r="PVQ1" s="753"/>
      <c r="PVR1" s="753"/>
      <c r="PVS1" s="753"/>
      <c r="PVT1" s="753"/>
      <c r="PVU1" s="753"/>
      <c r="PVV1" s="753"/>
      <c r="PVW1" s="753"/>
      <c r="PVX1" s="753"/>
      <c r="PVY1" s="753"/>
      <c r="PVZ1" s="753"/>
      <c r="PWA1" s="753"/>
      <c r="PWB1" s="753"/>
      <c r="PWC1" s="753"/>
      <c r="PWD1" s="753"/>
      <c r="PWE1" s="753"/>
      <c r="PWF1" s="753"/>
      <c r="PWG1" s="753"/>
      <c r="PWH1" s="753"/>
      <c r="PWI1" s="753"/>
      <c r="PWJ1" s="753"/>
      <c r="PWK1" s="753"/>
      <c r="PWL1" s="753"/>
      <c r="PWM1" s="753"/>
      <c r="PWN1" s="753"/>
      <c r="PWO1" s="753"/>
      <c r="PWP1" s="753"/>
      <c r="PWQ1" s="753"/>
      <c r="PWR1" s="753"/>
      <c r="PWS1" s="753"/>
      <c r="PWT1" s="753"/>
      <c r="PWU1" s="753"/>
      <c r="PWV1" s="753"/>
      <c r="PWW1" s="753"/>
      <c r="PWX1" s="753"/>
      <c r="PWY1" s="753"/>
      <c r="PWZ1" s="753"/>
      <c r="PXA1" s="753"/>
      <c r="PXB1" s="753"/>
      <c r="PXC1" s="753"/>
      <c r="PXD1" s="753"/>
      <c r="PXE1" s="753"/>
      <c r="PXF1" s="753"/>
      <c r="PXG1" s="753"/>
      <c r="PXH1" s="753"/>
      <c r="PXI1" s="753"/>
      <c r="PXJ1" s="753"/>
      <c r="PXK1" s="753"/>
      <c r="PXL1" s="753"/>
      <c r="PXM1" s="753"/>
      <c r="PXN1" s="753"/>
      <c r="PXO1" s="753"/>
      <c r="PXP1" s="753"/>
      <c r="PXQ1" s="753"/>
      <c r="PXR1" s="753"/>
      <c r="PXS1" s="753"/>
      <c r="PXT1" s="753"/>
      <c r="PXU1" s="753"/>
      <c r="PXV1" s="753"/>
      <c r="PXW1" s="753"/>
      <c r="PXX1" s="753"/>
      <c r="PXY1" s="753"/>
      <c r="PXZ1" s="753"/>
      <c r="PYA1" s="753"/>
      <c r="PYB1" s="753"/>
      <c r="PYC1" s="753"/>
      <c r="PYD1" s="753"/>
      <c r="PYE1" s="753"/>
      <c r="PYF1" s="753"/>
      <c r="PYG1" s="753"/>
      <c r="PYH1" s="753"/>
      <c r="PYI1" s="753"/>
      <c r="PYJ1" s="753"/>
      <c r="PYK1" s="753"/>
      <c r="PYL1" s="753"/>
      <c r="PYM1" s="753"/>
      <c r="PYN1" s="753"/>
      <c r="PYO1" s="753"/>
      <c r="PYP1" s="753"/>
      <c r="PYQ1" s="753"/>
      <c r="PYR1" s="753"/>
      <c r="PYS1" s="753"/>
      <c r="PYT1" s="753"/>
      <c r="PYU1" s="753"/>
      <c r="PYV1" s="753"/>
      <c r="PYW1" s="753"/>
      <c r="PYX1" s="753"/>
      <c r="PYY1" s="753"/>
      <c r="PYZ1" s="753"/>
      <c r="PZA1" s="753"/>
      <c r="PZB1" s="753"/>
      <c r="PZC1" s="753"/>
      <c r="PZD1" s="753"/>
      <c r="PZE1" s="753"/>
      <c r="PZF1" s="753"/>
      <c r="PZG1" s="753"/>
      <c r="PZH1" s="753"/>
      <c r="PZI1" s="753"/>
      <c r="PZJ1" s="753"/>
      <c r="PZK1" s="753"/>
      <c r="PZL1" s="753"/>
      <c r="PZM1" s="753"/>
      <c r="PZN1" s="753"/>
      <c r="PZO1" s="753"/>
      <c r="PZP1" s="753"/>
      <c r="PZQ1" s="753"/>
      <c r="PZR1" s="753"/>
      <c r="PZS1" s="753"/>
      <c r="PZT1" s="753"/>
      <c r="PZU1" s="753"/>
      <c r="PZV1" s="753"/>
      <c r="PZW1" s="753"/>
      <c r="PZX1" s="753"/>
      <c r="PZY1" s="753"/>
      <c r="PZZ1" s="753"/>
      <c r="QAA1" s="753"/>
      <c r="QAB1" s="753"/>
      <c r="QAC1" s="753"/>
      <c r="QAD1" s="753"/>
      <c r="QAE1" s="753"/>
      <c r="QAF1" s="753"/>
      <c r="QAG1" s="753"/>
      <c r="QAH1" s="753"/>
      <c r="QAI1" s="753"/>
      <c r="QAJ1" s="753"/>
      <c r="QAK1" s="753"/>
      <c r="QAL1" s="753"/>
      <c r="QAM1" s="753"/>
      <c r="QAN1" s="753"/>
      <c r="QAO1" s="753"/>
      <c r="QAP1" s="753"/>
      <c r="QAQ1" s="753"/>
      <c r="QAR1" s="753"/>
      <c r="QAS1" s="753"/>
      <c r="QAT1" s="753"/>
      <c r="QAU1" s="753"/>
      <c r="QAV1" s="753"/>
      <c r="QAW1" s="753"/>
      <c r="QAX1" s="753"/>
      <c r="QAY1" s="753"/>
      <c r="QAZ1" s="753"/>
      <c r="QBA1" s="753"/>
      <c r="QBB1" s="753"/>
      <c r="QBC1" s="753"/>
      <c r="QBD1" s="753"/>
      <c r="QBE1" s="753"/>
      <c r="QBF1" s="753"/>
      <c r="QBG1" s="753"/>
      <c r="QBH1" s="753"/>
      <c r="QBI1" s="753"/>
      <c r="QBJ1" s="753"/>
      <c r="QBK1" s="753"/>
      <c r="QBL1" s="753"/>
      <c r="QBM1" s="753"/>
      <c r="QBN1" s="753"/>
      <c r="QBO1" s="753"/>
      <c r="QBP1" s="753"/>
      <c r="QBQ1" s="753"/>
      <c r="QBR1" s="753"/>
      <c r="QBS1" s="753"/>
      <c r="QBT1" s="753"/>
      <c r="QBU1" s="753"/>
      <c r="QBV1" s="753"/>
      <c r="QBW1" s="753"/>
      <c r="QBX1" s="753"/>
      <c r="QBY1" s="753"/>
      <c r="QBZ1" s="753"/>
      <c r="QCA1" s="753"/>
      <c r="QCB1" s="753"/>
      <c r="QCC1" s="753"/>
      <c r="QCD1" s="753"/>
      <c r="QCE1" s="753"/>
      <c r="QCF1" s="753"/>
      <c r="QCG1" s="753"/>
      <c r="QCH1" s="753"/>
      <c r="QCI1" s="753"/>
      <c r="QCJ1" s="753"/>
      <c r="QCK1" s="753"/>
      <c r="QCL1" s="753"/>
      <c r="QCM1" s="753"/>
      <c r="QCN1" s="753"/>
      <c r="QCO1" s="753"/>
      <c r="QCP1" s="753"/>
      <c r="QCQ1" s="753"/>
      <c r="QCR1" s="753"/>
      <c r="QCS1" s="753"/>
      <c r="QCT1" s="753"/>
      <c r="QCU1" s="753"/>
      <c r="QCV1" s="753"/>
      <c r="QCW1" s="753"/>
      <c r="QCX1" s="753"/>
      <c r="QCY1" s="753"/>
      <c r="QCZ1" s="753"/>
      <c r="QDA1" s="753"/>
      <c r="QDB1" s="753"/>
      <c r="QDC1" s="753"/>
      <c r="QDD1" s="753"/>
      <c r="QDE1" s="753"/>
      <c r="QDF1" s="753"/>
      <c r="QDG1" s="753"/>
      <c r="QDH1" s="753"/>
      <c r="QDI1" s="753"/>
      <c r="QDJ1" s="753"/>
      <c r="QDK1" s="753"/>
      <c r="QDL1" s="753"/>
      <c r="QDM1" s="753"/>
      <c r="QDN1" s="753"/>
      <c r="QDO1" s="753"/>
      <c r="QDP1" s="753"/>
      <c r="QDQ1" s="753"/>
      <c r="QDR1" s="753"/>
      <c r="QDS1" s="753"/>
      <c r="QDT1" s="753"/>
      <c r="QDU1" s="753"/>
      <c r="QDV1" s="753"/>
      <c r="QDW1" s="753"/>
      <c r="QDX1" s="753"/>
      <c r="QDY1" s="753"/>
      <c r="QDZ1" s="753"/>
      <c r="QEA1" s="753"/>
      <c r="QEB1" s="753"/>
      <c r="QEC1" s="753"/>
      <c r="QED1" s="753"/>
      <c r="QEE1" s="753"/>
      <c r="QEF1" s="753"/>
      <c r="QEG1" s="753"/>
      <c r="QEH1" s="753"/>
      <c r="QEI1" s="753"/>
      <c r="QEJ1" s="753"/>
      <c r="QEK1" s="753"/>
      <c r="QEL1" s="753"/>
      <c r="QEM1" s="753"/>
      <c r="QEN1" s="753"/>
      <c r="QEO1" s="753"/>
      <c r="QEP1" s="753"/>
      <c r="QEQ1" s="753"/>
      <c r="QER1" s="753"/>
      <c r="QES1" s="753"/>
      <c r="QET1" s="753"/>
      <c r="QEU1" s="753"/>
      <c r="QEV1" s="753"/>
      <c r="QEW1" s="753"/>
      <c r="QEX1" s="753"/>
      <c r="QEY1" s="753"/>
      <c r="QEZ1" s="753"/>
      <c r="QFA1" s="753"/>
      <c r="QFB1" s="753"/>
      <c r="QFC1" s="753"/>
      <c r="QFD1" s="753"/>
      <c r="QFE1" s="753"/>
      <c r="QFF1" s="753"/>
      <c r="QFG1" s="753"/>
      <c r="QFH1" s="753"/>
      <c r="QFI1" s="753"/>
      <c r="QFJ1" s="753"/>
      <c r="QFK1" s="753"/>
      <c r="QFL1" s="753"/>
      <c r="QFM1" s="753"/>
      <c r="QFN1" s="753"/>
      <c r="QFO1" s="753"/>
      <c r="QFP1" s="753"/>
      <c r="QFQ1" s="753"/>
      <c r="QFR1" s="753"/>
      <c r="QFS1" s="753"/>
      <c r="QFT1" s="753"/>
      <c r="QFU1" s="753"/>
      <c r="QFV1" s="753"/>
      <c r="QFW1" s="753"/>
      <c r="QFX1" s="753"/>
      <c r="QFY1" s="753"/>
      <c r="QFZ1" s="753"/>
      <c r="QGA1" s="753"/>
      <c r="QGB1" s="753"/>
      <c r="QGC1" s="753"/>
      <c r="QGD1" s="753"/>
      <c r="QGE1" s="753"/>
      <c r="QGF1" s="753"/>
      <c r="QGG1" s="753"/>
      <c r="QGH1" s="753"/>
      <c r="QGI1" s="753"/>
      <c r="QGJ1" s="753"/>
      <c r="QGK1" s="753"/>
      <c r="QGL1" s="753"/>
      <c r="QGM1" s="753"/>
      <c r="QGN1" s="753"/>
      <c r="QGO1" s="753"/>
      <c r="QGP1" s="753"/>
      <c r="QGQ1" s="753"/>
      <c r="QGR1" s="753"/>
      <c r="QGS1" s="753"/>
      <c r="QGT1" s="753"/>
      <c r="QGU1" s="753"/>
      <c r="QGV1" s="753"/>
      <c r="QGW1" s="753"/>
      <c r="QGX1" s="753"/>
      <c r="QGY1" s="753"/>
      <c r="QGZ1" s="753"/>
      <c r="QHA1" s="753"/>
      <c r="QHB1" s="753"/>
      <c r="QHC1" s="753"/>
      <c r="QHD1" s="753"/>
      <c r="QHE1" s="753"/>
      <c r="QHF1" s="753"/>
      <c r="QHG1" s="753"/>
      <c r="QHH1" s="753"/>
      <c r="QHI1" s="753"/>
      <c r="QHJ1" s="753"/>
      <c r="QHK1" s="753"/>
      <c r="QHL1" s="753"/>
      <c r="QHM1" s="753"/>
      <c r="QHN1" s="753"/>
      <c r="QHO1" s="753"/>
      <c r="QHP1" s="753"/>
      <c r="QHQ1" s="753"/>
      <c r="QHR1" s="753"/>
      <c r="QHS1" s="753"/>
      <c r="QHT1" s="753"/>
      <c r="QHU1" s="753"/>
      <c r="QHV1" s="753"/>
      <c r="QHW1" s="753"/>
      <c r="QHX1" s="753"/>
      <c r="QHY1" s="753"/>
      <c r="QHZ1" s="753"/>
      <c r="QIA1" s="753"/>
      <c r="QIB1" s="753"/>
      <c r="QIC1" s="753"/>
      <c r="QID1" s="753"/>
      <c r="QIE1" s="753"/>
      <c r="QIF1" s="753"/>
      <c r="QIG1" s="753"/>
      <c r="QIH1" s="753"/>
      <c r="QII1" s="753"/>
      <c r="QIJ1" s="753"/>
      <c r="QIK1" s="753"/>
      <c r="QIL1" s="753"/>
      <c r="QIM1" s="753"/>
      <c r="QIN1" s="753"/>
      <c r="QIO1" s="753"/>
      <c r="QIP1" s="753"/>
      <c r="QIQ1" s="753"/>
      <c r="QIR1" s="753"/>
      <c r="QIS1" s="753"/>
      <c r="QIT1" s="753"/>
      <c r="QIU1" s="753"/>
      <c r="QIV1" s="753"/>
      <c r="QIW1" s="753"/>
      <c r="QIX1" s="753"/>
      <c r="QIY1" s="753"/>
      <c r="QIZ1" s="753"/>
      <c r="QJA1" s="753"/>
      <c r="QJB1" s="753"/>
      <c r="QJC1" s="753"/>
      <c r="QJD1" s="753"/>
      <c r="QJE1" s="753"/>
      <c r="QJF1" s="753"/>
      <c r="QJG1" s="753"/>
      <c r="QJH1" s="753"/>
      <c r="QJI1" s="753"/>
      <c r="QJJ1" s="753"/>
      <c r="QJK1" s="753"/>
      <c r="QJL1" s="753"/>
      <c r="QJM1" s="753"/>
      <c r="QJN1" s="753"/>
      <c r="QJO1" s="753"/>
      <c r="QJP1" s="753"/>
      <c r="QJQ1" s="753"/>
      <c r="QJR1" s="753"/>
      <c r="QJS1" s="753"/>
      <c r="QJT1" s="753"/>
      <c r="QJU1" s="753"/>
      <c r="QJV1" s="753"/>
      <c r="QJW1" s="753"/>
      <c r="QJX1" s="753"/>
      <c r="QJY1" s="753"/>
      <c r="QJZ1" s="753"/>
      <c r="QKA1" s="753"/>
      <c r="QKB1" s="753"/>
      <c r="QKC1" s="753"/>
      <c r="QKD1" s="753"/>
      <c r="QKE1" s="753"/>
      <c r="QKF1" s="753"/>
      <c r="QKG1" s="753"/>
      <c r="QKH1" s="753"/>
      <c r="QKI1" s="753"/>
      <c r="QKJ1" s="753"/>
      <c r="QKK1" s="753"/>
      <c r="QKL1" s="753"/>
      <c r="QKM1" s="753"/>
      <c r="QKN1" s="753"/>
      <c r="QKO1" s="753"/>
      <c r="QKP1" s="753"/>
      <c r="QKQ1" s="753"/>
      <c r="QKR1" s="753"/>
      <c r="QKS1" s="753"/>
      <c r="QKT1" s="753"/>
      <c r="QKU1" s="753"/>
      <c r="QKV1" s="753"/>
      <c r="QKW1" s="753"/>
      <c r="QKX1" s="753"/>
      <c r="QKY1" s="753"/>
      <c r="QKZ1" s="753"/>
      <c r="QLA1" s="753"/>
      <c r="QLB1" s="753"/>
      <c r="QLC1" s="753"/>
      <c r="QLD1" s="753"/>
      <c r="QLE1" s="753"/>
      <c r="QLF1" s="753"/>
      <c r="QLG1" s="753"/>
      <c r="QLH1" s="753"/>
      <c r="QLI1" s="753"/>
      <c r="QLJ1" s="753"/>
      <c r="QLK1" s="753"/>
      <c r="QLL1" s="753"/>
      <c r="QLM1" s="753"/>
      <c r="QLN1" s="753"/>
      <c r="QLO1" s="753"/>
      <c r="QLP1" s="753"/>
      <c r="QLQ1" s="753"/>
      <c r="QLR1" s="753"/>
      <c r="QLS1" s="753"/>
      <c r="QLT1" s="753"/>
      <c r="QLU1" s="753"/>
      <c r="QLV1" s="753"/>
      <c r="QLW1" s="753"/>
      <c r="QLX1" s="753"/>
      <c r="QLY1" s="753"/>
      <c r="QLZ1" s="753"/>
      <c r="QMA1" s="753"/>
      <c r="QMB1" s="753"/>
      <c r="QMC1" s="753"/>
      <c r="QMD1" s="753"/>
      <c r="QME1" s="753"/>
      <c r="QMF1" s="753"/>
      <c r="QMG1" s="753"/>
      <c r="QMH1" s="753"/>
      <c r="QMI1" s="753"/>
      <c r="QMJ1" s="753"/>
      <c r="QMK1" s="753"/>
      <c r="QML1" s="753"/>
      <c r="QMM1" s="753"/>
      <c r="QMN1" s="753"/>
      <c r="QMO1" s="753"/>
      <c r="QMP1" s="753"/>
      <c r="QMQ1" s="753"/>
      <c r="QMR1" s="753"/>
      <c r="QMS1" s="753"/>
      <c r="QMT1" s="753"/>
      <c r="QMU1" s="753"/>
      <c r="QMV1" s="753"/>
      <c r="QMW1" s="753"/>
      <c r="QMX1" s="753"/>
      <c r="QMY1" s="753"/>
      <c r="QMZ1" s="753"/>
      <c r="QNA1" s="753"/>
      <c r="QNB1" s="753"/>
      <c r="QNC1" s="753"/>
      <c r="QND1" s="753"/>
      <c r="QNE1" s="753"/>
      <c r="QNF1" s="753"/>
      <c r="QNG1" s="753"/>
      <c r="QNH1" s="753"/>
      <c r="QNI1" s="753"/>
      <c r="QNJ1" s="753"/>
      <c r="QNK1" s="753"/>
      <c r="QNL1" s="753"/>
      <c r="QNM1" s="753"/>
      <c r="QNN1" s="753"/>
      <c r="QNO1" s="753"/>
      <c r="QNP1" s="753"/>
      <c r="QNQ1" s="753"/>
      <c r="QNR1" s="753"/>
      <c r="QNS1" s="753"/>
      <c r="QNT1" s="753"/>
      <c r="QNU1" s="753"/>
      <c r="QNV1" s="753"/>
      <c r="QNW1" s="753"/>
      <c r="QNX1" s="753"/>
      <c r="QNY1" s="753"/>
      <c r="QNZ1" s="753"/>
      <c r="QOA1" s="753"/>
      <c r="QOB1" s="753"/>
      <c r="QOC1" s="753"/>
      <c r="QOD1" s="753"/>
      <c r="QOE1" s="753"/>
      <c r="QOF1" s="753"/>
      <c r="QOG1" s="753"/>
      <c r="QOH1" s="753"/>
      <c r="QOI1" s="753"/>
      <c r="QOJ1" s="753"/>
      <c r="QOK1" s="753"/>
      <c r="QOL1" s="753"/>
      <c r="QOM1" s="753"/>
      <c r="QON1" s="753"/>
      <c r="QOO1" s="753"/>
      <c r="QOP1" s="753"/>
      <c r="QOQ1" s="753"/>
      <c r="QOR1" s="753"/>
      <c r="QOS1" s="753"/>
      <c r="QOT1" s="753"/>
      <c r="QOU1" s="753"/>
      <c r="QOV1" s="753"/>
      <c r="QOW1" s="753"/>
      <c r="QOX1" s="753"/>
      <c r="QOY1" s="753"/>
      <c r="QOZ1" s="753"/>
      <c r="QPA1" s="753"/>
      <c r="QPB1" s="753"/>
      <c r="QPC1" s="753"/>
      <c r="QPD1" s="753"/>
      <c r="QPE1" s="753"/>
      <c r="QPF1" s="753"/>
      <c r="QPG1" s="753"/>
      <c r="QPH1" s="753"/>
      <c r="QPI1" s="753"/>
      <c r="QPJ1" s="753"/>
      <c r="QPK1" s="753"/>
      <c r="QPL1" s="753"/>
      <c r="QPM1" s="753"/>
      <c r="QPN1" s="753"/>
      <c r="QPO1" s="753"/>
      <c r="QPP1" s="753"/>
      <c r="QPQ1" s="753"/>
      <c r="QPR1" s="753"/>
      <c r="QPS1" s="753"/>
      <c r="QPT1" s="753"/>
      <c r="QPU1" s="753"/>
      <c r="QPV1" s="753"/>
      <c r="QPW1" s="753"/>
      <c r="QPX1" s="753"/>
      <c r="QPY1" s="753"/>
      <c r="QPZ1" s="753"/>
      <c r="QQA1" s="753"/>
      <c r="QQB1" s="753"/>
      <c r="QQC1" s="753"/>
      <c r="QQD1" s="753"/>
      <c r="QQE1" s="753"/>
      <c r="QQF1" s="753"/>
      <c r="QQG1" s="753"/>
      <c r="QQH1" s="753"/>
      <c r="QQI1" s="753"/>
      <c r="QQJ1" s="753"/>
      <c r="QQK1" s="753"/>
      <c r="QQL1" s="753"/>
      <c r="QQM1" s="753"/>
      <c r="QQN1" s="753"/>
      <c r="QQO1" s="753"/>
      <c r="QQP1" s="753"/>
      <c r="QQQ1" s="753"/>
      <c r="QQR1" s="753"/>
      <c r="QQS1" s="753"/>
      <c r="QQT1" s="753"/>
      <c r="QQU1" s="753"/>
      <c r="QQV1" s="753"/>
      <c r="QQW1" s="753"/>
      <c r="QQX1" s="753"/>
      <c r="QQY1" s="753"/>
      <c r="QQZ1" s="753"/>
      <c r="QRA1" s="753"/>
      <c r="QRB1" s="753"/>
      <c r="QRC1" s="753"/>
      <c r="QRD1" s="753"/>
      <c r="QRE1" s="753"/>
      <c r="QRF1" s="753"/>
      <c r="QRG1" s="753"/>
      <c r="QRH1" s="753"/>
      <c r="QRI1" s="753"/>
      <c r="QRJ1" s="753"/>
      <c r="QRK1" s="753"/>
      <c r="QRL1" s="753"/>
      <c r="QRM1" s="753"/>
      <c r="QRN1" s="753"/>
      <c r="QRO1" s="753"/>
      <c r="QRP1" s="753"/>
      <c r="QRQ1" s="753"/>
      <c r="QRR1" s="753"/>
      <c r="QRS1" s="753"/>
      <c r="QRT1" s="753"/>
      <c r="QRU1" s="753"/>
      <c r="QRV1" s="753"/>
      <c r="QRW1" s="753"/>
      <c r="QRX1" s="753"/>
      <c r="QRY1" s="753"/>
      <c r="QRZ1" s="753"/>
      <c r="QSA1" s="753"/>
      <c r="QSB1" s="753"/>
      <c r="QSC1" s="753"/>
      <c r="QSD1" s="753"/>
      <c r="QSE1" s="753"/>
      <c r="QSF1" s="753"/>
      <c r="QSG1" s="753"/>
      <c r="QSH1" s="753"/>
      <c r="QSI1" s="753"/>
      <c r="QSJ1" s="753"/>
      <c r="QSK1" s="753"/>
      <c r="QSL1" s="753"/>
      <c r="QSM1" s="753"/>
      <c r="QSN1" s="753"/>
      <c r="QSO1" s="753"/>
      <c r="QSP1" s="753"/>
      <c r="QSQ1" s="753"/>
      <c r="QSR1" s="753"/>
      <c r="QSS1" s="753"/>
      <c r="QST1" s="753"/>
      <c r="QSU1" s="753"/>
      <c r="QSV1" s="753"/>
      <c r="QSW1" s="753"/>
      <c r="QSX1" s="753"/>
      <c r="QSY1" s="753"/>
      <c r="QSZ1" s="753"/>
      <c r="QTA1" s="753"/>
      <c r="QTB1" s="753"/>
      <c r="QTC1" s="753"/>
      <c r="QTD1" s="753"/>
      <c r="QTE1" s="753"/>
      <c r="QTF1" s="753"/>
      <c r="QTG1" s="753"/>
      <c r="QTH1" s="753"/>
      <c r="QTI1" s="753"/>
      <c r="QTJ1" s="753"/>
      <c r="QTK1" s="753"/>
      <c r="QTL1" s="753"/>
      <c r="QTM1" s="753"/>
      <c r="QTN1" s="753"/>
      <c r="QTO1" s="753"/>
      <c r="QTP1" s="753"/>
      <c r="QTQ1" s="753"/>
      <c r="QTR1" s="753"/>
      <c r="QTS1" s="753"/>
      <c r="QTT1" s="753"/>
      <c r="QTU1" s="753"/>
      <c r="QTV1" s="753"/>
      <c r="QTW1" s="753"/>
      <c r="QTX1" s="753"/>
      <c r="QTY1" s="753"/>
      <c r="QTZ1" s="753"/>
      <c r="QUA1" s="753"/>
      <c r="QUB1" s="753"/>
      <c r="QUC1" s="753"/>
      <c r="QUD1" s="753"/>
      <c r="QUE1" s="753"/>
      <c r="QUF1" s="753"/>
      <c r="QUG1" s="753"/>
      <c r="QUH1" s="753"/>
      <c r="QUI1" s="753"/>
      <c r="QUJ1" s="753"/>
      <c r="QUK1" s="753"/>
      <c r="QUL1" s="753"/>
      <c r="QUM1" s="753"/>
      <c r="QUN1" s="753"/>
      <c r="QUO1" s="753"/>
      <c r="QUP1" s="753"/>
      <c r="QUQ1" s="753"/>
      <c r="QUR1" s="753"/>
      <c r="QUS1" s="753"/>
      <c r="QUT1" s="753"/>
      <c r="QUU1" s="753"/>
      <c r="QUV1" s="753"/>
      <c r="QUW1" s="753"/>
      <c r="QUX1" s="753"/>
      <c r="QUY1" s="753"/>
      <c r="QUZ1" s="753"/>
      <c r="QVA1" s="753"/>
      <c r="QVB1" s="753"/>
      <c r="QVC1" s="753"/>
      <c r="QVD1" s="753"/>
      <c r="QVE1" s="753"/>
      <c r="QVF1" s="753"/>
      <c r="QVG1" s="753"/>
      <c r="QVH1" s="753"/>
      <c r="QVI1" s="753"/>
      <c r="QVJ1" s="753"/>
      <c r="QVK1" s="753"/>
      <c r="QVL1" s="753"/>
      <c r="QVM1" s="753"/>
      <c r="QVN1" s="753"/>
      <c r="QVO1" s="753"/>
      <c r="QVP1" s="753"/>
      <c r="QVQ1" s="753"/>
      <c r="QVR1" s="753"/>
      <c r="QVS1" s="753"/>
      <c r="QVT1" s="753"/>
      <c r="QVU1" s="753"/>
      <c r="QVV1" s="753"/>
      <c r="QVW1" s="753"/>
      <c r="QVX1" s="753"/>
      <c r="QVY1" s="753"/>
      <c r="QVZ1" s="753"/>
      <c r="QWA1" s="753"/>
      <c r="QWB1" s="753"/>
      <c r="QWC1" s="753"/>
      <c r="QWD1" s="753"/>
      <c r="QWE1" s="753"/>
      <c r="QWF1" s="753"/>
      <c r="QWG1" s="753"/>
      <c r="QWH1" s="753"/>
      <c r="QWI1" s="753"/>
      <c r="QWJ1" s="753"/>
      <c r="QWK1" s="753"/>
      <c r="QWL1" s="753"/>
      <c r="QWM1" s="753"/>
      <c r="QWN1" s="753"/>
      <c r="QWO1" s="753"/>
      <c r="QWP1" s="753"/>
      <c r="QWQ1" s="753"/>
      <c r="QWR1" s="753"/>
      <c r="QWS1" s="753"/>
      <c r="QWT1" s="753"/>
      <c r="QWU1" s="753"/>
      <c r="QWV1" s="753"/>
      <c r="QWW1" s="753"/>
      <c r="QWX1" s="753"/>
      <c r="QWY1" s="753"/>
      <c r="QWZ1" s="753"/>
      <c r="QXA1" s="753"/>
      <c r="QXB1" s="753"/>
      <c r="QXC1" s="753"/>
      <c r="QXD1" s="753"/>
      <c r="QXE1" s="753"/>
      <c r="QXF1" s="753"/>
      <c r="QXG1" s="753"/>
      <c r="QXH1" s="753"/>
      <c r="QXI1" s="753"/>
      <c r="QXJ1" s="753"/>
      <c r="QXK1" s="753"/>
      <c r="QXL1" s="753"/>
      <c r="QXM1" s="753"/>
      <c r="QXN1" s="753"/>
      <c r="QXO1" s="753"/>
      <c r="QXP1" s="753"/>
      <c r="QXQ1" s="753"/>
      <c r="QXR1" s="753"/>
      <c r="QXS1" s="753"/>
      <c r="QXT1" s="753"/>
      <c r="QXU1" s="753"/>
      <c r="QXV1" s="753"/>
      <c r="QXW1" s="753"/>
      <c r="QXX1" s="753"/>
      <c r="QXY1" s="753"/>
      <c r="QXZ1" s="753"/>
      <c r="QYA1" s="753"/>
      <c r="QYB1" s="753"/>
      <c r="QYC1" s="753"/>
      <c r="QYD1" s="753"/>
      <c r="QYE1" s="753"/>
      <c r="QYF1" s="753"/>
      <c r="QYG1" s="753"/>
      <c r="QYH1" s="753"/>
      <c r="QYI1" s="753"/>
      <c r="QYJ1" s="753"/>
      <c r="QYK1" s="753"/>
      <c r="QYL1" s="753"/>
      <c r="QYM1" s="753"/>
      <c r="QYN1" s="753"/>
      <c r="QYO1" s="753"/>
      <c r="QYP1" s="753"/>
      <c r="QYQ1" s="753"/>
      <c r="QYR1" s="753"/>
      <c r="QYS1" s="753"/>
      <c r="QYT1" s="753"/>
      <c r="QYU1" s="753"/>
      <c r="QYV1" s="753"/>
      <c r="QYW1" s="753"/>
      <c r="QYX1" s="753"/>
      <c r="QYY1" s="753"/>
      <c r="QYZ1" s="753"/>
      <c r="QZA1" s="753"/>
      <c r="QZB1" s="753"/>
      <c r="QZC1" s="753"/>
      <c r="QZD1" s="753"/>
      <c r="QZE1" s="753"/>
      <c r="QZF1" s="753"/>
      <c r="QZG1" s="753"/>
      <c r="QZH1" s="753"/>
      <c r="QZI1" s="753"/>
      <c r="QZJ1" s="753"/>
      <c r="QZK1" s="753"/>
      <c r="QZL1" s="753"/>
      <c r="QZM1" s="753"/>
      <c r="QZN1" s="753"/>
      <c r="QZO1" s="753"/>
      <c r="QZP1" s="753"/>
      <c r="QZQ1" s="753"/>
      <c r="QZR1" s="753"/>
      <c r="QZS1" s="753"/>
      <c r="QZT1" s="753"/>
      <c r="QZU1" s="753"/>
      <c r="QZV1" s="753"/>
      <c r="QZW1" s="753"/>
      <c r="QZX1" s="753"/>
      <c r="QZY1" s="753"/>
      <c r="QZZ1" s="753"/>
      <c r="RAA1" s="753"/>
      <c r="RAB1" s="753"/>
      <c r="RAC1" s="753"/>
      <c r="RAD1" s="753"/>
      <c r="RAE1" s="753"/>
      <c r="RAF1" s="753"/>
      <c r="RAG1" s="753"/>
      <c r="RAH1" s="753"/>
      <c r="RAI1" s="753"/>
      <c r="RAJ1" s="753"/>
      <c r="RAK1" s="753"/>
      <c r="RAL1" s="753"/>
      <c r="RAM1" s="753"/>
      <c r="RAN1" s="753"/>
      <c r="RAO1" s="753"/>
      <c r="RAP1" s="753"/>
      <c r="RAQ1" s="753"/>
      <c r="RAR1" s="753"/>
      <c r="RAS1" s="753"/>
      <c r="RAT1" s="753"/>
      <c r="RAU1" s="753"/>
      <c r="RAV1" s="753"/>
      <c r="RAW1" s="753"/>
      <c r="RAX1" s="753"/>
      <c r="RAY1" s="753"/>
      <c r="RAZ1" s="753"/>
      <c r="RBA1" s="753"/>
      <c r="RBB1" s="753"/>
      <c r="RBC1" s="753"/>
      <c r="RBD1" s="753"/>
      <c r="RBE1" s="753"/>
      <c r="RBF1" s="753"/>
      <c r="RBG1" s="753"/>
      <c r="RBH1" s="753"/>
      <c r="RBI1" s="753"/>
      <c r="RBJ1" s="753"/>
      <c r="RBK1" s="753"/>
      <c r="RBL1" s="753"/>
      <c r="RBM1" s="753"/>
      <c r="RBN1" s="753"/>
      <c r="RBO1" s="753"/>
      <c r="RBP1" s="753"/>
      <c r="RBQ1" s="753"/>
      <c r="RBR1" s="753"/>
      <c r="RBS1" s="753"/>
      <c r="RBT1" s="753"/>
      <c r="RBU1" s="753"/>
      <c r="RBV1" s="753"/>
      <c r="RBW1" s="753"/>
      <c r="RBX1" s="753"/>
      <c r="RBY1" s="753"/>
      <c r="RBZ1" s="753"/>
      <c r="RCA1" s="753"/>
      <c r="RCB1" s="753"/>
      <c r="RCC1" s="753"/>
      <c r="RCD1" s="753"/>
      <c r="RCE1" s="753"/>
      <c r="RCF1" s="753"/>
      <c r="RCG1" s="753"/>
      <c r="RCH1" s="753"/>
      <c r="RCI1" s="753"/>
      <c r="RCJ1" s="753"/>
      <c r="RCK1" s="753"/>
      <c r="RCL1" s="753"/>
      <c r="RCM1" s="753"/>
      <c r="RCN1" s="753"/>
      <c r="RCO1" s="753"/>
      <c r="RCP1" s="753"/>
      <c r="RCQ1" s="753"/>
      <c r="RCR1" s="753"/>
      <c r="RCS1" s="753"/>
      <c r="RCT1" s="753"/>
      <c r="RCU1" s="753"/>
      <c r="RCV1" s="753"/>
      <c r="RCW1" s="753"/>
      <c r="RCX1" s="753"/>
      <c r="RCY1" s="753"/>
      <c r="RCZ1" s="753"/>
      <c r="RDA1" s="753"/>
      <c r="RDB1" s="753"/>
      <c r="RDC1" s="753"/>
      <c r="RDD1" s="753"/>
      <c r="RDE1" s="753"/>
      <c r="RDF1" s="753"/>
      <c r="RDG1" s="753"/>
      <c r="RDH1" s="753"/>
      <c r="RDI1" s="753"/>
      <c r="RDJ1" s="753"/>
      <c r="RDK1" s="753"/>
      <c r="RDL1" s="753"/>
      <c r="RDM1" s="753"/>
      <c r="RDN1" s="753"/>
      <c r="RDO1" s="753"/>
      <c r="RDP1" s="753"/>
      <c r="RDQ1" s="753"/>
      <c r="RDR1" s="753"/>
      <c r="RDS1" s="753"/>
      <c r="RDT1" s="753"/>
      <c r="RDU1" s="753"/>
      <c r="RDV1" s="753"/>
      <c r="RDW1" s="753"/>
      <c r="RDX1" s="753"/>
      <c r="RDY1" s="753"/>
      <c r="RDZ1" s="753"/>
      <c r="REA1" s="753"/>
      <c r="REB1" s="753"/>
      <c r="REC1" s="753"/>
      <c r="RED1" s="753"/>
      <c r="REE1" s="753"/>
      <c r="REF1" s="753"/>
      <c r="REG1" s="753"/>
      <c r="REH1" s="753"/>
      <c r="REI1" s="753"/>
      <c r="REJ1" s="753"/>
      <c r="REK1" s="753"/>
      <c r="REL1" s="753"/>
      <c r="REM1" s="753"/>
      <c r="REN1" s="753"/>
      <c r="REO1" s="753"/>
      <c r="REP1" s="753"/>
      <c r="REQ1" s="753"/>
      <c r="RER1" s="753"/>
      <c r="RES1" s="753"/>
      <c r="RET1" s="753"/>
      <c r="REU1" s="753"/>
      <c r="REV1" s="753"/>
      <c r="REW1" s="753"/>
      <c r="REX1" s="753"/>
      <c r="REY1" s="753"/>
      <c r="REZ1" s="753"/>
      <c r="RFA1" s="753"/>
      <c r="RFB1" s="753"/>
      <c r="RFC1" s="753"/>
      <c r="RFD1" s="753"/>
      <c r="RFE1" s="753"/>
      <c r="RFF1" s="753"/>
      <c r="RFG1" s="753"/>
      <c r="RFH1" s="753"/>
      <c r="RFI1" s="753"/>
      <c r="RFJ1" s="753"/>
      <c r="RFK1" s="753"/>
      <c r="RFL1" s="753"/>
      <c r="RFM1" s="753"/>
      <c r="RFN1" s="753"/>
      <c r="RFO1" s="753"/>
      <c r="RFP1" s="753"/>
      <c r="RFQ1" s="753"/>
      <c r="RFR1" s="753"/>
      <c r="RFS1" s="753"/>
      <c r="RFT1" s="753"/>
      <c r="RFU1" s="753"/>
      <c r="RFV1" s="753"/>
      <c r="RFW1" s="753"/>
      <c r="RFX1" s="753"/>
      <c r="RFY1" s="753"/>
      <c r="RFZ1" s="753"/>
      <c r="RGA1" s="753"/>
      <c r="RGB1" s="753"/>
      <c r="RGC1" s="753"/>
      <c r="RGD1" s="753"/>
      <c r="RGE1" s="753"/>
      <c r="RGF1" s="753"/>
      <c r="RGG1" s="753"/>
      <c r="RGH1" s="753"/>
      <c r="RGI1" s="753"/>
      <c r="RGJ1" s="753"/>
      <c r="RGK1" s="753"/>
      <c r="RGL1" s="753"/>
      <c r="RGM1" s="753"/>
      <c r="RGN1" s="753"/>
      <c r="RGO1" s="753"/>
      <c r="RGP1" s="753"/>
      <c r="RGQ1" s="753"/>
      <c r="RGR1" s="753"/>
      <c r="RGS1" s="753"/>
      <c r="RGT1" s="753"/>
      <c r="RGU1" s="753"/>
      <c r="RGV1" s="753"/>
      <c r="RGW1" s="753"/>
      <c r="RGX1" s="753"/>
      <c r="RGY1" s="753"/>
      <c r="RGZ1" s="753"/>
      <c r="RHA1" s="753"/>
      <c r="RHB1" s="753"/>
      <c r="RHC1" s="753"/>
      <c r="RHD1" s="753"/>
      <c r="RHE1" s="753"/>
      <c r="RHF1" s="753"/>
      <c r="RHG1" s="753"/>
      <c r="RHH1" s="753"/>
      <c r="RHI1" s="753"/>
      <c r="RHJ1" s="753"/>
      <c r="RHK1" s="753"/>
      <c r="RHL1" s="753"/>
      <c r="RHM1" s="753"/>
      <c r="RHN1" s="753"/>
      <c r="RHO1" s="753"/>
      <c r="RHP1" s="753"/>
      <c r="RHQ1" s="753"/>
      <c r="RHR1" s="753"/>
      <c r="RHS1" s="753"/>
      <c r="RHT1" s="753"/>
      <c r="RHU1" s="753"/>
      <c r="RHV1" s="753"/>
      <c r="RHW1" s="753"/>
      <c r="RHX1" s="753"/>
      <c r="RHY1" s="753"/>
      <c r="RHZ1" s="753"/>
      <c r="RIA1" s="753"/>
      <c r="RIB1" s="753"/>
      <c r="RIC1" s="753"/>
      <c r="RID1" s="753"/>
      <c r="RIE1" s="753"/>
      <c r="RIF1" s="753"/>
      <c r="RIG1" s="753"/>
      <c r="RIH1" s="753"/>
      <c r="RII1" s="753"/>
      <c r="RIJ1" s="753"/>
      <c r="RIK1" s="753"/>
      <c r="RIL1" s="753"/>
      <c r="RIM1" s="753"/>
      <c r="RIN1" s="753"/>
      <c r="RIO1" s="753"/>
      <c r="RIP1" s="753"/>
      <c r="RIQ1" s="753"/>
      <c r="RIR1" s="753"/>
      <c r="RIS1" s="753"/>
      <c r="RIT1" s="753"/>
      <c r="RIU1" s="753"/>
      <c r="RIV1" s="753"/>
      <c r="RIW1" s="753"/>
      <c r="RIX1" s="753"/>
      <c r="RIY1" s="753"/>
      <c r="RIZ1" s="753"/>
      <c r="RJA1" s="753"/>
      <c r="RJB1" s="753"/>
      <c r="RJC1" s="753"/>
      <c r="RJD1" s="753"/>
      <c r="RJE1" s="753"/>
      <c r="RJF1" s="753"/>
      <c r="RJG1" s="753"/>
      <c r="RJH1" s="753"/>
      <c r="RJI1" s="753"/>
      <c r="RJJ1" s="753"/>
      <c r="RJK1" s="753"/>
      <c r="RJL1" s="753"/>
      <c r="RJM1" s="753"/>
      <c r="RJN1" s="753"/>
      <c r="RJO1" s="753"/>
      <c r="RJP1" s="753"/>
      <c r="RJQ1" s="753"/>
      <c r="RJR1" s="753"/>
      <c r="RJS1" s="753"/>
      <c r="RJT1" s="753"/>
      <c r="RJU1" s="753"/>
      <c r="RJV1" s="753"/>
      <c r="RJW1" s="753"/>
      <c r="RJX1" s="753"/>
      <c r="RJY1" s="753"/>
      <c r="RJZ1" s="753"/>
      <c r="RKA1" s="753"/>
      <c r="RKB1" s="753"/>
      <c r="RKC1" s="753"/>
      <c r="RKD1" s="753"/>
      <c r="RKE1" s="753"/>
      <c r="RKF1" s="753"/>
      <c r="RKG1" s="753"/>
      <c r="RKH1" s="753"/>
      <c r="RKI1" s="753"/>
      <c r="RKJ1" s="753"/>
      <c r="RKK1" s="753"/>
      <c r="RKL1" s="753"/>
      <c r="RKM1" s="753"/>
      <c r="RKN1" s="753"/>
      <c r="RKO1" s="753"/>
      <c r="RKP1" s="753"/>
      <c r="RKQ1" s="753"/>
      <c r="RKR1" s="753"/>
      <c r="RKS1" s="753"/>
      <c r="RKT1" s="753"/>
      <c r="RKU1" s="753"/>
      <c r="RKV1" s="753"/>
      <c r="RKW1" s="753"/>
      <c r="RKX1" s="753"/>
      <c r="RKY1" s="753"/>
      <c r="RKZ1" s="753"/>
      <c r="RLA1" s="753"/>
      <c r="RLB1" s="753"/>
      <c r="RLC1" s="753"/>
      <c r="RLD1" s="753"/>
      <c r="RLE1" s="753"/>
      <c r="RLF1" s="753"/>
      <c r="RLG1" s="753"/>
      <c r="RLH1" s="753"/>
      <c r="RLI1" s="753"/>
      <c r="RLJ1" s="753"/>
      <c r="RLK1" s="753"/>
      <c r="RLL1" s="753"/>
      <c r="RLM1" s="753"/>
      <c r="RLN1" s="753"/>
      <c r="RLO1" s="753"/>
      <c r="RLP1" s="753"/>
      <c r="RLQ1" s="753"/>
      <c r="RLR1" s="753"/>
      <c r="RLS1" s="753"/>
      <c r="RLT1" s="753"/>
      <c r="RLU1" s="753"/>
      <c r="RLV1" s="753"/>
      <c r="RLW1" s="753"/>
      <c r="RLX1" s="753"/>
      <c r="RLY1" s="753"/>
      <c r="RLZ1" s="753"/>
      <c r="RMA1" s="753"/>
      <c r="RMB1" s="753"/>
      <c r="RMC1" s="753"/>
      <c r="RMD1" s="753"/>
      <c r="RME1" s="753"/>
      <c r="RMF1" s="753"/>
      <c r="RMG1" s="753"/>
      <c r="RMH1" s="753"/>
      <c r="RMI1" s="753"/>
      <c r="RMJ1" s="753"/>
      <c r="RMK1" s="753"/>
      <c r="RML1" s="753"/>
      <c r="RMM1" s="753"/>
      <c r="RMN1" s="753"/>
      <c r="RMO1" s="753"/>
      <c r="RMP1" s="753"/>
      <c r="RMQ1" s="753"/>
      <c r="RMR1" s="753"/>
      <c r="RMS1" s="753"/>
      <c r="RMT1" s="753"/>
      <c r="RMU1" s="753"/>
      <c r="RMV1" s="753"/>
      <c r="RMW1" s="753"/>
      <c r="RMX1" s="753"/>
      <c r="RMY1" s="753"/>
      <c r="RMZ1" s="753"/>
      <c r="RNA1" s="753"/>
      <c r="RNB1" s="753"/>
      <c r="RNC1" s="753"/>
      <c r="RND1" s="753"/>
      <c r="RNE1" s="753"/>
      <c r="RNF1" s="753"/>
      <c r="RNG1" s="753"/>
      <c r="RNH1" s="753"/>
      <c r="RNI1" s="753"/>
      <c r="RNJ1" s="753"/>
      <c r="RNK1" s="753"/>
      <c r="RNL1" s="753"/>
      <c r="RNM1" s="753"/>
      <c r="RNN1" s="753"/>
      <c r="RNO1" s="753"/>
      <c r="RNP1" s="753"/>
      <c r="RNQ1" s="753"/>
      <c r="RNR1" s="753"/>
      <c r="RNS1" s="753"/>
      <c r="RNT1" s="753"/>
      <c r="RNU1" s="753"/>
      <c r="RNV1" s="753"/>
      <c r="RNW1" s="753"/>
      <c r="RNX1" s="753"/>
      <c r="RNY1" s="753"/>
      <c r="RNZ1" s="753"/>
      <c r="ROA1" s="753"/>
      <c r="ROB1" s="753"/>
      <c r="ROC1" s="753"/>
      <c r="ROD1" s="753"/>
      <c r="ROE1" s="753"/>
      <c r="ROF1" s="753"/>
      <c r="ROG1" s="753"/>
      <c r="ROH1" s="753"/>
      <c r="ROI1" s="753"/>
      <c r="ROJ1" s="753"/>
      <c r="ROK1" s="753"/>
      <c r="ROL1" s="753"/>
      <c r="ROM1" s="753"/>
      <c r="RON1" s="753"/>
      <c r="ROO1" s="753"/>
      <c r="ROP1" s="753"/>
      <c r="ROQ1" s="753"/>
      <c r="ROR1" s="753"/>
      <c r="ROS1" s="753"/>
      <c r="ROT1" s="753"/>
      <c r="ROU1" s="753"/>
      <c r="ROV1" s="753"/>
      <c r="ROW1" s="753"/>
      <c r="ROX1" s="753"/>
      <c r="ROY1" s="753"/>
      <c r="ROZ1" s="753"/>
      <c r="RPA1" s="753"/>
      <c r="RPB1" s="753"/>
      <c r="RPC1" s="753"/>
      <c r="RPD1" s="753"/>
      <c r="RPE1" s="753"/>
      <c r="RPF1" s="753"/>
      <c r="RPG1" s="753"/>
      <c r="RPH1" s="753"/>
      <c r="RPI1" s="753"/>
      <c r="RPJ1" s="753"/>
      <c r="RPK1" s="753"/>
      <c r="RPL1" s="753"/>
      <c r="RPM1" s="753"/>
      <c r="RPN1" s="753"/>
      <c r="RPO1" s="753"/>
      <c r="RPP1" s="753"/>
      <c r="RPQ1" s="753"/>
      <c r="RPR1" s="753"/>
      <c r="RPS1" s="753"/>
      <c r="RPT1" s="753"/>
      <c r="RPU1" s="753"/>
      <c r="RPV1" s="753"/>
      <c r="RPW1" s="753"/>
      <c r="RPX1" s="753"/>
      <c r="RPY1" s="753"/>
      <c r="RPZ1" s="753"/>
      <c r="RQA1" s="753"/>
      <c r="RQB1" s="753"/>
      <c r="RQC1" s="753"/>
      <c r="RQD1" s="753"/>
      <c r="RQE1" s="753"/>
      <c r="RQF1" s="753"/>
      <c r="RQG1" s="753"/>
      <c r="RQH1" s="753"/>
      <c r="RQI1" s="753"/>
      <c r="RQJ1" s="753"/>
      <c r="RQK1" s="753"/>
      <c r="RQL1" s="753"/>
      <c r="RQM1" s="753"/>
      <c r="RQN1" s="753"/>
      <c r="RQO1" s="753"/>
      <c r="RQP1" s="753"/>
      <c r="RQQ1" s="753"/>
      <c r="RQR1" s="753"/>
      <c r="RQS1" s="753"/>
      <c r="RQT1" s="753"/>
      <c r="RQU1" s="753"/>
      <c r="RQV1" s="753"/>
      <c r="RQW1" s="753"/>
      <c r="RQX1" s="753"/>
      <c r="RQY1" s="753"/>
      <c r="RQZ1" s="753"/>
      <c r="RRA1" s="753"/>
      <c r="RRB1" s="753"/>
      <c r="RRC1" s="753"/>
      <c r="RRD1" s="753"/>
      <c r="RRE1" s="753"/>
      <c r="RRF1" s="753"/>
      <c r="RRG1" s="753"/>
      <c r="RRH1" s="753"/>
      <c r="RRI1" s="753"/>
      <c r="RRJ1" s="753"/>
      <c r="RRK1" s="753"/>
      <c r="RRL1" s="753"/>
      <c r="RRM1" s="753"/>
      <c r="RRN1" s="753"/>
      <c r="RRO1" s="753"/>
      <c r="RRP1" s="753"/>
      <c r="RRQ1" s="753"/>
      <c r="RRR1" s="753"/>
      <c r="RRS1" s="753"/>
      <c r="RRT1" s="753"/>
      <c r="RRU1" s="753"/>
      <c r="RRV1" s="753"/>
      <c r="RRW1" s="753"/>
      <c r="RRX1" s="753"/>
      <c r="RRY1" s="753"/>
      <c r="RRZ1" s="753"/>
      <c r="RSA1" s="753"/>
      <c r="RSB1" s="753"/>
      <c r="RSC1" s="753"/>
      <c r="RSD1" s="753"/>
      <c r="RSE1" s="753"/>
      <c r="RSF1" s="753"/>
      <c r="RSG1" s="753"/>
      <c r="RSH1" s="753"/>
      <c r="RSI1" s="753"/>
      <c r="RSJ1" s="753"/>
      <c r="RSK1" s="753"/>
      <c r="RSL1" s="753"/>
      <c r="RSM1" s="753"/>
      <c r="RSN1" s="753"/>
      <c r="RSO1" s="753"/>
      <c r="RSP1" s="753"/>
      <c r="RSQ1" s="753"/>
      <c r="RSR1" s="753"/>
      <c r="RSS1" s="753"/>
      <c r="RST1" s="753"/>
      <c r="RSU1" s="753"/>
      <c r="RSV1" s="753"/>
      <c r="RSW1" s="753"/>
      <c r="RSX1" s="753"/>
      <c r="RSY1" s="753"/>
      <c r="RSZ1" s="753"/>
      <c r="RTA1" s="753"/>
      <c r="RTB1" s="753"/>
      <c r="RTC1" s="753"/>
      <c r="RTD1" s="753"/>
      <c r="RTE1" s="753"/>
      <c r="RTF1" s="753"/>
      <c r="RTG1" s="753"/>
      <c r="RTH1" s="753"/>
      <c r="RTI1" s="753"/>
      <c r="RTJ1" s="753"/>
      <c r="RTK1" s="753"/>
      <c r="RTL1" s="753"/>
      <c r="RTM1" s="753"/>
      <c r="RTN1" s="753"/>
      <c r="RTO1" s="753"/>
      <c r="RTP1" s="753"/>
      <c r="RTQ1" s="753"/>
      <c r="RTR1" s="753"/>
      <c r="RTS1" s="753"/>
      <c r="RTT1" s="753"/>
      <c r="RTU1" s="753"/>
      <c r="RTV1" s="753"/>
      <c r="RTW1" s="753"/>
      <c r="RTX1" s="753"/>
      <c r="RTY1" s="753"/>
      <c r="RTZ1" s="753"/>
      <c r="RUA1" s="753"/>
      <c r="RUB1" s="753"/>
      <c r="RUC1" s="753"/>
      <c r="RUD1" s="753"/>
      <c r="RUE1" s="753"/>
      <c r="RUF1" s="753"/>
      <c r="RUG1" s="753"/>
      <c r="RUH1" s="753"/>
      <c r="RUI1" s="753"/>
      <c r="RUJ1" s="753"/>
      <c r="RUK1" s="753"/>
      <c r="RUL1" s="753"/>
      <c r="RUM1" s="753"/>
      <c r="RUN1" s="753"/>
      <c r="RUO1" s="753"/>
      <c r="RUP1" s="753"/>
      <c r="RUQ1" s="753"/>
      <c r="RUR1" s="753"/>
      <c r="RUS1" s="753"/>
      <c r="RUT1" s="753"/>
      <c r="RUU1" s="753"/>
      <c r="RUV1" s="753"/>
      <c r="RUW1" s="753"/>
      <c r="RUX1" s="753"/>
      <c r="RUY1" s="753"/>
      <c r="RUZ1" s="753"/>
      <c r="RVA1" s="753"/>
      <c r="RVB1" s="753"/>
      <c r="RVC1" s="753"/>
      <c r="RVD1" s="753"/>
      <c r="RVE1" s="753"/>
      <c r="RVF1" s="753"/>
      <c r="RVG1" s="753"/>
      <c r="RVH1" s="753"/>
      <c r="RVI1" s="753"/>
      <c r="RVJ1" s="753"/>
      <c r="RVK1" s="753"/>
      <c r="RVL1" s="753"/>
      <c r="RVM1" s="753"/>
      <c r="RVN1" s="753"/>
      <c r="RVO1" s="753"/>
      <c r="RVP1" s="753"/>
      <c r="RVQ1" s="753"/>
      <c r="RVR1" s="753"/>
      <c r="RVS1" s="753"/>
      <c r="RVT1" s="753"/>
      <c r="RVU1" s="753"/>
      <c r="RVV1" s="753"/>
      <c r="RVW1" s="753"/>
      <c r="RVX1" s="753"/>
      <c r="RVY1" s="753"/>
      <c r="RVZ1" s="753"/>
      <c r="RWA1" s="753"/>
      <c r="RWB1" s="753"/>
      <c r="RWC1" s="753"/>
      <c r="RWD1" s="753"/>
      <c r="RWE1" s="753"/>
      <c r="RWF1" s="753"/>
      <c r="RWG1" s="753"/>
      <c r="RWH1" s="753"/>
      <c r="RWI1" s="753"/>
      <c r="RWJ1" s="753"/>
      <c r="RWK1" s="753"/>
      <c r="RWL1" s="753"/>
      <c r="RWM1" s="753"/>
      <c r="RWN1" s="753"/>
      <c r="RWO1" s="753"/>
      <c r="RWP1" s="753"/>
      <c r="RWQ1" s="753"/>
      <c r="RWR1" s="753"/>
      <c r="RWS1" s="753"/>
      <c r="RWT1" s="753"/>
      <c r="RWU1" s="753"/>
      <c r="RWV1" s="753"/>
      <c r="RWW1" s="753"/>
      <c r="RWX1" s="753"/>
      <c r="RWY1" s="753"/>
      <c r="RWZ1" s="753"/>
      <c r="RXA1" s="753"/>
      <c r="RXB1" s="753"/>
      <c r="RXC1" s="753"/>
      <c r="RXD1" s="753"/>
      <c r="RXE1" s="753"/>
      <c r="RXF1" s="753"/>
      <c r="RXG1" s="753"/>
      <c r="RXH1" s="753"/>
      <c r="RXI1" s="753"/>
      <c r="RXJ1" s="753"/>
      <c r="RXK1" s="753"/>
      <c r="RXL1" s="753"/>
      <c r="RXM1" s="753"/>
      <c r="RXN1" s="753"/>
      <c r="RXO1" s="753"/>
      <c r="RXP1" s="753"/>
      <c r="RXQ1" s="753"/>
      <c r="RXR1" s="753"/>
      <c r="RXS1" s="753"/>
      <c r="RXT1" s="753"/>
      <c r="RXU1" s="753"/>
      <c r="RXV1" s="753"/>
      <c r="RXW1" s="753"/>
      <c r="RXX1" s="753"/>
      <c r="RXY1" s="753"/>
      <c r="RXZ1" s="753"/>
      <c r="RYA1" s="753"/>
      <c r="RYB1" s="753"/>
      <c r="RYC1" s="753"/>
      <c r="RYD1" s="753"/>
      <c r="RYE1" s="753"/>
      <c r="RYF1" s="753"/>
      <c r="RYG1" s="753"/>
      <c r="RYH1" s="753"/>
      <c r="RYI1" s="753"/>
      <c r="RYJ1" s="753"/>
      <c r="RYK1" s="753"/>
      <c r="RYL1" s="753"/>
      <c r="RYM1" s="753"/>
      <c r="RYN1" s="753"/>
      <c r="RYO1" s="753"/>
      <c r="RYP1" s="753"/>
      <c r="RYQ1" s="753"/>
      <c r="RYR1" s="753"/>
      <c r="RYS1" s="753"/>
      <c r="RYT1" s="753"/>
      <c r="RYU1" s="753"/>
      <c r="RYV1" s="753"/>
      <c r="RYW1" s="753"/>
      <c r="RYX1" s="753"/>
      <c r="RYY1" s="753"/>
      <c r="RYZ1" s="753"/>
      <c r="RZA1" s="753"/>
      <c r="RZB1" s="753"/>
      <c r="RZC1" s="753"/>
      <c r="RZD1" s="753"/>
      <c r="RZE1" s="753"/>
      <c r="RZF1" s="753"/>
      <c r="RZG1" s="753"/>
      <c r="RZH1" s="753"/>
      <c r="RZI1" s="753"/>
      <c r="RZJ1" s="753"/>
      <c r="RZK1" s="753"/>
      <c r="RZL1" s="753"/>
      <c r="RZM1" s="753"/>
      <c r="RZN1" s="753"/>
      <c r="RZO1" s="753"/>
      <c r="RZP1" s="753"/>
      <c r="RZQ1" s="753"/>
      <c r="RZR1" s="753"/>
      <c r="RZS1" s="753"/>
      <c r="RZT1" s="753"/>
      <c r="RZU1" s="753"/>
      <c r="RZV1" s="753"/>
      <c r="RZW1" s="753"/>
      <c r="RZX1" s="753"/>
      <c r="RZY1" s="753"/>
      <c r="RZZ1" s="753"/>
      <c r="SAA1" s="753"/>
      <c r="SAB1" s="753"/>
      <c r="SAC1" s="753"/>
      <c r="SAD1" s="753"/>
      <c r="SAE1" s="753"/>
      <c r="SAF1" s="753"/>
      <c r="SAG1" s="753"/>
      <c r="SAH1" s="753"/>
      <c r="SAI1" s="753"/>
      <c r="SAJ1" s="753"/>
      <c r="SAK1" s="753"/>
      <c r="SAL1" s="753"/>
      <c r="SAM1" s="753"/>
      <c r="SAN1" s="753"/>
      <c r="SAO1" s="753"/>
      <c r="SAP1" s="753"/>
      <c r="SAQ1" s="753"/>
      <c r="SAR1" s="753"/>
      <c r="SAS1" s="753"/>
      <c r="SAT1" s="753"/>
      <c r="SAU1" s="753"/>
      <c r="SAV1" s="753"/>
      <c r="SAW1" s="753"/>
      <c r="SAX1" s="753"/>
      <c r="SAY1" s="753"/>
      <c r="SAZ1" s="753"/>
      <c r="SBA1" s="753"/>
      <c r="SBB1" s="753"/>
      <c r="SBC1" s="753"/>
      <c r="SBD1" s="753"/>
      <c r="SBE1" s="753"/>
      <c r="SBF1" s="753"/>
      <c r="SBG1" s="753"/>
      <c r="SBH1" s="753"/>
      <c r="SBI1" s="753"/>
      <c r="SBJ1" s="753"/>
      <c r="SBK1" s="753"/>
      <c r="SBL1" s="753"/>
      <c r="SBM1" s="753"/>
      <c r="SBN1" s="753"/>
      <c r="SBO1" s="753"/>
      <c r="SBP1" s="753"/>
      <c r="SBQ1" s="753"/>
      <c r="SBR1" s="753"/>
      <c r="SBS1" s="753"/>
      <c r="SBT1" s="753"/>
      <c r="SBU1" s="753"/>
      <c r="SBV1" s="753"/>
      <c r="SBW1" s="753"/>
      <c r="SBX1" s="753"/>
      <c r="SBY1" s="753"/>
      <c r="SBZ1" s="753"/>
      <c r="SCA1" s="753"/>
      <c r="SCB1" s="753"/>
      <c r="SCC1" s="753"/>
      <c r="SCD1" s="753"/>
      <c r="SCE1" s="753"/>
      <c r="SCF1" s="753"/>
      <c r="SCG1" s="753"/>
      <c r="SCH1" s="753"/>
      <c r="SCI1" s="753"/>
      <c r="SCJ1" s="753"/>
      <c r="SCK1" s="753"/>
      <c r="SCL1" s="753"/>
      <c r="SCM1" s="753"/>
      <c r="SCN1" s="753"/>
      <c r="SCO1" s="753"/>
      <c r="SCP1" s="753"/>
      <c r="SCQ1" s="753"/>
      <c r="SCR1" s="753"/>
      <c r="SCS1" s="753"/>
      <c r="SCT1" s="753"/>
      <c r="SCU1" s="753"/>
      <c r="SCV1" s="753"/>
      <c r="SCW1" s="753"/>
      <c r="SCX1" s="753"/>
      <c r="SCY1" s="753"/>
      <c r="SCZ1" s="753"/>
      <c r="SDA1" s="753"/>
      <c r="SDB1" s="753"/>
      <c r="SDC1" s="753"/>
      <c r="SDD1" s="753"/>
      <c r="SDE1" s="753"/>
      <c r="SDF1" s="753"/>
      <c r="SDG1" s="753"/>
      <c r="SDH1" s="753"/>
      <c r="SDI1" s="753"/>
      <c r="SDJ1" s="753"/>
      <c r="SDK1" s="753"/>
      <c r="SDL1" s="753"/>
      <c r="SDM1" s="753"/>
      <c r="SDN1" s="753"/>
      <c r="SDO1" s="753"/>
      <c r="SDP1" s="753"/>
      <c r="SDQ1" s="753"/>
      <c r="SDR1" s="753"/>
      <c r="SDS1" s="753"/>
      <c r="SDT1" s="753"/>
      <c r="SDU1" s="753"/>
      <c r="SDV1" s="753"/>
      <c r="SDW1" s="753"/>
      <c r="SDX1" s="753"/>
      <c r="SDY1" s="753"/>
      <c r="SDZ1" s="753"/>
      <c r="SEA1" s="753"/>
      <c r="SEB1" s="753"/>
      <c r="SEC1" s="753"/>
      <c r="SED1" s="753"/>
      <c r="SEE1" s="753"/>
      <c r="SEF1" s="753"/>
      <c r="SEG1" s="753"/>
      <c r="SEH1" s="753"/>
      <c r="SEI1" s="753"/>
      <c r="SEJ1" s="753"/>
      <c r="SEK1" s="753"/>
      <c r="SEL1" s="753"/>
      <c r="SEM1" s="753"/>
      <c r="SEN1" s="753"/>
      <c r="SEO1" s="753"/>
      <c r="SEP1" s="753"/>
      <c r="SEQ1" s="753"/>
      <c r="SER1" s="753"/>
      <c r="SES1" s="753"/>
      <c r="SET1" s="753"/>
      <c r="SEU1" s="753"/>
      <c r="SEV1" s="753"/>
      <c r="SEW1" s="753"/>
      <c r="SEX1" s="753"/>
      <c r="SEY1" s="753"/>
      <c r="SEZ1" s="753"/>
      <c r="SFA1" s="753"/>
      <c r="SFB1" s="753"/>
      <c r="SFC1" s="753"/>
      <c r="SFD1" s="753"/>
      <c r="SFE1" s="753"/>
      <c r="SFF1" s="753"/>
      <c r="SFG1" s="753"/>
      <c r="SFH1" s="753"/>
      <c r="SFI1" s="753"/>
      <c r="SFJ1" s="753"/>
      <c r="SFK1" s="753"/>
      <c r="SFL1" s="753"/>
      <c r="SFM1" s="753"/>
      <c r="SFN1" s="753"/>
      <c r="SFO1" s="753"/>
      <c r="SFP1" s="753"/>
      <c r="SFQ1" s="753"/>
      <c r="SFR1" s="753"/>
      <c r="SFS1" s="753"/>
      <c r="SFT1" s="753"/>
      <c r="SFU1" s="753"/>
      <c r="SFV1" s="753"/>
      <c r="SFW1" s="753"/>
      <c r="SFX1" s="753"/>
      <c r="SFY1" s="753"/>
      <c r="SFZ1" s="753"/>
      <c r="SGA1" s="753"/>
      <c r="SGB1" s="753"/>
      <c r="SGC1" s="753"/>
      <c r="SGD1" s="753"/>
      <c r="SGE1" s="753"/>
      <c r="SGF1" s="753"/>
      <c r="SGG1" s="753"/>
      <c r="SGH1" s="753"/>
      <c r="SGI1" s="753"/>
      <c r="SGJ1" s="753"/>
      <c r="SGK1" s="753"/>
      <c r="SGL1" s="753"/>
      <c r="SGM1" s="753"/>
      <c r="SGN1" s="753"/>
      <c r="SGO1" s="753"/>
      <c r="SGP1" s="753"/>
      <c r="SGQ1" s="753"/>
      <c r="SGR1" s="753"/>
      <c r="SGS1" s="753"/>
      <c r="SGT1" s="753"/>
      <c r="SGU1" s="753"/>
      <c r="SGV1" s="753"/>
      <c r="SGW1" s="753"/>
      <c r="SGX1" s="753"/>
      <c r="SGY1" s="753"/>
      <c r="SGZ1" s="753"/>
      <c r="SHA1" s="753"/>
      <c r="SHB1" s="753"/>
      <c r="SHC1" s="753"/>
      <c r="SHD1" s="753"/>
      <c r="SHE1" s="753"/>
      <c r="SHF1" s="753"/>
      <c r="SHG1" s="753"/>
      <c r="SHH1" s="753"/>
      <c r="SHI1" s="753"/>
      <c r="SHJ1" s="753"/>
      <c r="SHK1" s="753"/>
      <c r="SHL1" s="753"/>
      <c r="SHM1" s="753"/>
      <c r="SHN1" s="753"/>
      <c r="SHO1" s="753"/>
      <c r="SHP1" s="753"/>
      <c r="SHQ1" s="753"/>
      <c r="SHR1" s="753"/>
      <c r="SHS1" s="753"/>
      <c r="SHT1" s="753"/>
      <c r="SHU1" s="753"/>
      <c r="SHV1" s="753"/>
      <c r="SHW1" s="753"/>
      <c r="SHX1" s="753"/>
      <c r="SHY1" s="753"/>
      <c r="SHZ1" s="753"/>
      <c r="SIA1" s="753"/>
      <c r="SIB1" s="753"/>
      <c r="SIC1" s="753"/>
      <c r="SID1" s="753"/>
      <c r="SIE1" s="753"/>
      <c r="SIF1" s="753"/>
      <c r="SIG1" s="753"/>
      <c r="SIH1" s="753"/>
      <c r="SII1" s="753"/>
      <c r="SIJ1" s="753"/>
      <c r="SIK1" s="753"/>
      <c r="SIL1" s="753"/>
      <c r="SIM1" s="753"/>
      <c r="SIN1" s="753"/>
      <c r="SIO1" s="753"/>
      <c r="SIP1" s="753"/>
      <c r="SIQ1" s="753"/>
      <c r="SIR1" s="753"/>
      <c r="SIS1" s="753"/>
      <c r="SIT1" s="753"/>
      <c r="SIU1" s="753"/>
      <c r="SIV1" s="753"/>
      <c r="SIW1" s="753"/>
      <c r="SIX1" s="753"/>
      <c r="SIY1" s="753"/>
      <c r="SIZ1" s="753"/>
      <c r="SJA1" s="753"/>
      <c r="SJB1" s="753"/>
      <c r="SJC1" s="753"/>
      <c r="SJD1" s="753"/>
      <c r="SJE1" s="753"/>
      <c r="SJF1" s="753"/>
      <c r="SJG1" s="753"/>
      <c r="SJH1" s="753"/>
      <c r="SJI1" s="753"/>
      <c r="SJJ1" s="753"/>
      <c r="SJK1" s="753"/>
      <c r="SJL1" s="753"/>
      <c r="SJM1" s="753"/>
      <c r="SJN1" s="753"/>
      <c r="SJO1" s="753"/>
      <c r="SJP1" s="753"/>
      <c r="SJQ1" s="753"/>
      <c r="SJR1" s="753"/>
      <c r="SJS1" s="753"/>
      <c r="SJT1" s="753"/>
      <c r="SJU1" s="753"/>
      <c r="SJV1" s="753"/>
      <c r="SJW1" s="753"/>
      <c r="SJX1" s="753"/>
      <c r="SJY1" s="753"/>
      <c r="SJZ1" s="753"/>
      <c r="SKA1" s="753"/>
      <c r="SKB1" s="753"/>
      <c r="SKC1" s="753"/>
      <c r="SKD1" s="753"/>
      <c r="SKE1" s="753"/>
      <c r="SKF1" s="753"/>
      <c r="SKG1" s="753"/>
      <c r="SKH1" s="753"/>
      <c r="SKI1" s="753"/>
      <c r="SKJ1" s="753"/>
      <c r="SKK1" s="753"/>
      <c r="SKL1" s="753"/>
      <c r="SKM1" s="753"/>
      <c r="SKN1" s="753"/>
      <c r="SKO1" s="753"/>
      <c r="SKP1" s="753"/>
      <c r="SKQ1" s="753"/>
      <c r="SKR1" s="753"/>
      <c r="SKS1" s="753"/>
      <c r="SKT1" s="753"/>
      <c r="SKU1" s="753"/>
      <c r="SKV1" s="753"/>
      <c r="SKW1" s="753"/>
      <c r="SKX1" s="753"/>
      <c r="SKY1" s="753"/>
      <c r="SKZ1" s="753"/>
      <c r="SLA1" s="753"/>
      <c r="SLB1" s="753"/>
      <c r="SLC1" s="753"/>
      <c r="SLD1" s="753"/>
      <c r="SLE1" s="753"/>
      <c r="SLF1" s="753"/>
      <c r="SLG1" s="753"/>
      <c r="SLH1" s="753"/>
      <c r="SLI1" s="753"/>
      <c r="SLJ1" s="753"/>
      <c r="SLK1" s="753"/>
      <c r="SLL1" s="753"/>
      <c r="SLM1" s="753"/>
      <c r="SLN1" s="753"/>
      <c r="SLO1" s="753"/>
      <c r="SLP1" s="753"/>
      <c r="SLQ1" s="753"/>
      <c r="SLR1" s="753"/>
      <c r="SLS1" s="753"/>
      <c r="SLT1" s="753"/>
      <c r="SLU1" s="753"/>
      <c r="SLV1" s="753"/>
      <c r="SLW1" s="753"/>
      <c r="SLX1" s="753"/>
      <c r="SLY1" s="753"/>
      <c r="SLZ1" s="753"/>
      <c r="SMA1" s="753"/>
      <c r="SMB1" s="753"/>
      <c r="SMC1" s="753"/>
      <c r="SMD1" s="753"/>
      <c r="SME1" s="753"/>
      <c r="SMF1" s="753"/>
      <c r="SMG1" s="753"/>
      <c r="SMH1" s="753"/>
      <c r="SMI1" s="753"/>
      <c r="SMJ1" s="753"/>
      <c r="SMK1" s="753"/>
      <c r="SML1" s="753"/>
      <c r="SMM1" s="753"/>
      <c r="SMN1" s="753"/>
      <c r="SMO1" s="753"/>
      <c r="SMP1" s="753"/>
      <c r="SMQ1" s="753"/>
      <c r="SMR1" s="753"/>
      <c r="SMS1" s="753"/>
      <c r="SMT1" s="753"/>
      <c r="SMU1" s="753"/>
      <c r="SMV1" s="753"/>
      <c r="SMW1" s="753"/>
      <c r="SMX1" s="753"/>
      <c r="SMY1" s="753"/>
      <c r="SMZ1" s="753"/>
      <c r="SNA1" s="753"/>
      <c r="SNB1" s="753"/>
      <c r="SNC1" s="753"/>
      <c r="SND1" s="753"/>
      <c r="SNE1" s="753"/>
      <c r="SNF1" s="753"/>
      <c r="SNG1" s="753"/>
      <c r="SNH1" s="753"/>
      <c r="SNI1" s="753"/>
      <c r="SNJ1" s="753"/>
      <c r="SNK1" s="753"/>
      <c r="SNL1" s="753"/>
      <c r="SNM1" s="753"/>
      <c r="SNN1" s="753"/>
      <c r="SNO1" s="753"/>
      <c r="SNP1" s="753"/>
      <c r="SNQ1" s="753"/>
      <c r="SNR1" s="753"/>
      <c r="SNS1" s="753"/>
      <c r="SNT1" s="753"/>
      <c r="SNU1" s="753"/>
      <c r="SNV1" s="753"/>
      <c r="SNW1" s="753"/>
      <c r="SNX1" s="753"/>
      <c r="SNY1" s="753"/>
      <c r="SNZ1" s="753"/>
      <c r="SOA1" s="753"/>
      <c r="SOB1" s="753"/>
      <c r="SOC1" s="753"/>
      <c r="SOD1" s="753"/>
      <c r="SOE1" s="753"/>
      <c r="SOF1" s="753"/>
      <c r="SOG1" s="753"/>
      <c r="SOH1" s="753"/>
      <c r="SOI1" s="753"/>
      <c r="SOJ1" s="753"/>
      <c r="SOK1" s="753"/>
      <c r="SOL1" s="753"/>
      <c r="SOM1" s="753"/>
      <c r="SON1" s="753"/>
      <c r="SOO1" s="753"/>
      <c r="SOP1" s="753"/>
      <c r="SOQ1" s="753"/>
      <c r="SOR1" s="753"/>
      <c r="SOS1" s="753"/>
      <c r="SOT1" s="753"/>
      <c r="SOU1" s="753"/>
      <c r="SOV1" s="753"/>
      <c r="SOW1" s="753"/>
      <c r="SOX1" s="753"/>
      <c r="SOY1" s="753"/>
      <c r="SOZ1" s="753"/>
      <c r="SPA1" s="753"/>
      <c r="SPB1" s="753"/>
      <c r="SPC1" s="753"/>
      <c r="SPD1" s="753"/>
      <c r="SPE1" s="753"/>
      <c r="SPF1" s="753"/>
      <c r="SPG1" s="753"/>
      <c r="SPH1" s="753"/>
      <c r="SPI1" s="753"/>
      <c r="SPJ1" s="753"/>
      <c r="SPK1" s="753"/>
      <c r="SPL1" s="753"/>
      <c r="SPM1" s="753"/>
      <c r="SPN1" s="753"/>
      <c r="SPO1" s="753"/>
      <c r="SPP1" s="753"/>
      <c r="SPQ1" s="753"/>
      <c r="SPR1" s="753"/>
      <c r="SPS1" s="753"/>
      <c r="SPT1" s="753"/>
      <c r="SPU1" s="753"/>
      <c r="SPV1" s="753"/>
      <c r="SPW1" s="753"/>
      <c r="SPX1" s="753"/>
      <c r="SPY1" s="753"/>
      <c r="SPZ1" s="753"/>
      <c r="SQA1" s="753"/>
      <c r="SQB1" s="753"/>
      <c r="SQC1" s="753"/>
      <c r="SQD1" s="753"/>
      <c r="SQE1" s="753"/>
      <c r="SQF1" s="753"/>
      <c r="SQG1" s="753"/>
      <c r="SQH1" s="753"/>
      <c r="SQI1" s="753"/>
      <c r="SQJ1" s="753"/>
      <c r="SQK1" s="753"/>
      <c r="SQL1" s="753"/>
      <c r="SQM1" s="753"/>
      <c r="SQN1" s="753"/>
      <c r="SQO1" s="753"/>
      <c r="SQP1" s="753"/>
      <c r="SQQ1" s="753"/>
      <c r="SQR1" s="753"/>
      <c r="SQS1" s="753"/>
      <c r="SQT1" s="753"/>
      <c r="SQU1" s="753"/>
      <c r="SQV1" s="753"/>
      <c r="SQW1" s="753"/>
      <c r="SQX1" s="753"/>
      <c r="SQY1" s="753"/>
      <c r="SQZ1" s="753"/>
      <c r="SRA1" s="753"/>
      <c r="SRB1" s="753"/>
      <c r="SRC1" s="753"/>
      <c r="SRD1" s="753"/>
      <c r="SRE1" s="753"/>
      <c r="SRF1" s="753"/>
      <c r="SRG1" s="753"/>
      <c r="SRH1" s="753"/>
      <c r="SRI1" s="753"/>
      <c r="SRJ1" s="753"/>
      <c r="SRK1" s="753"/>
      <c r="SRL1" s="753"/>
      <c r="SRM1" s="753"/>
      <c r="SRN1" s="753"/>
      <c r="SRO1" s="753"/>
      <c r="SRP1" s="753"/>
      <c r="SRQ1" s="753"/>
      <c r="SRR1" s="753"/>
      <c r="SRS1" s="753"/>
      <c r="SRT1" s="753"/>
      <c r="SRU1" s="753"/>
      <c r="SRV1" s="753"/>
      <c r="SRW1" s="753"/>
      <c r="SRX1" s="753"/>
      <c r="SRY1" s="753"/>
      <c r="SRZ1" s="753"/>
      <c r="SSA1" s="753"/>
      <c r="SSB1" s="753"/>
      <c r="SSC1" s="753"/>
      <c r="SSD1" s="753"/>
      <c r="SSE1" s="753"/>
      <c r="SSF1" s="753"/>
      <c r="SSG1" s="753"/>
      <c r="SSH1" s="753"/>
      <c r="SSI1" s="753"/>
      <c r="SSJ1" s="753"/>
      <c r="SSK1" s="753"/>
      <c r="SSL1" s="753"/>
      <c r="SSM1" s="753"/>
      <c r="SSN1" s="753"/>
      <c r="SSO1" s="753"/>
      <c r="SSP1" s="753"/>
      <c r="SSQ1" s="753"/>
      <c r="SSR1" s="753"/>
      <c r="SSS1" s="753"/>
      <c r="SST1" s="753"/>
      <c r="SSU1" s="753"/>
      <c r="SSV1" s="753"/>
      <c r="SSW1" s="753"/>
      <c r="SSX1" s="753"/>
      <c r="SSY1" s="753"/>
      <c r="SSZ1" s="753"/>
      <c r="STA1" s="753"/>
      <c r="STB1" s="753"/>
      <c r="STC1" s="753"/>
      <c r="STD1" s="753"/>
      <c r="STE1" s="753"/>
      <c r="STF1" s="753"/>
      <c r="STG1" s="753"/>
      <c r="STH1" s="753"/>
      <c r="STI1" s="753"/>
      <c r="STJ1" s="753"/>
      <c r="STK1" s="753"/>
      <c r="STL1" s="753"/>
      <c r="STM1" s="753"/>
      <c r="STN1" s="753"/>
      <c r="STO1" s="753"/>
      <c r="STP1" s="753"/>
      <c r="STQ1" s="753"/>
      <c r="STR1" s="753"/>
      <c r="STS1" s="753"/>
      <c r="STT1" s="753"/>
      <c r="STU1" s="753"/>
      <c r="STV1" s="753"/>
      <c r="STW1" s="753"/>
      <c r="STX1" s="753"/>
      <c r="STY1" s="753"/>
      <c r="STZ1" s="753"/>
      <c r="SUA1" s="753"/>
      <c r="SUB1" s="753"/>
      <c r="SUC1" s="753"/>
      <c r="SUD1" s="753"/>
      <c r="SUE1" s="753"/>
      <c r="SUF1" s="753"/>
      <c r="SUG1" s="753"/>
      <c r="SUH1" s="753"/>
      <c r="SUI1" s="753"/>
      <c r="SUJ1" s="753"/>
      <c r="SUK1" s="753"/>
      <c r="SUL1" s="753"/>
      <c r="SUM1" s="753"/>
      <c r="SUN1" s="753"/>
      <c r="SUO1" s="753"/>
      <c r="SUP1" s="753"/>
      <c r="SUQ1" s="753"/>
      <c r="SUR1" s="753"/>
      <c r="SUS1" s="753"/>
      <c r="SUT1" s="753"/>
      <c r="SUU1" s="753"/>
      <c r="SUV1" s="753"/>
      <c r="SUW1" s="753"/>
      <c r="SUX1" s="753"/>
      <c r="SUY1" s="753"/>
      <c r="SUZ1" s="753"/>
      <c r="SVA1" s="753"/>
      <c r="SVB1" s="753"/>
      <c r="SVC1" s="753"/>
      <c r="SVD1" s="753"/>
      <c r="SVE1" s="753"/>
      <c r="SVF1" s="753"/>
      <c r="SVG1" s="753"/>
      <c r="SVH1" s="753"/>
      <c r="SVI1" s="753"/>
      <c r="SVJ1" s="753"/>
      <c r="SVK1" s="753"/>
      <c r="SVL1" s="753"/>
      <c r="SVM1" s="753"/>
      <c r="SVN1" s="753"/>
      <c r="SVO1" s="753"/>
      <c r="SVP1" s="753"/>
      <c r="SVQ1" s="753"/>
      <c r="SVR1" s="753"/>
      <c r="SVS1" s="753"/>
      <c r="SVT1" s="753"/>
      <c r="SVU1" s="753"/>
      <c r="SVV1" s="753"/>
      <c r="SVW1" s="753"/>
      <c r="SVX1" s="753"/>
      <c r="SVY1" s="753"/>
      <c r="SVZ1" s="753"/>
      <c r="SWA1" s="753"/>
      <c r="SWB1" s="753"/>
      <c r="SWC1" s="753"/>
      <c r="SWD1" s="753"/>
      <c r="SWE1" s="753"/>
      <c r="SWF1" s="753"/>
      <c r="SWG1" s="753"/>
      <c r="SWH1" s="753"/>
      <c r="SWI1" s="753"/>
      <c r="SWJ1" s="753"/>
      <c r="SWK1" s="753"/>
      <c r="SWL1" s="753"/>
      <c r="SWM1" s="753"/>
      <c r="SWN1" s="753"/>
      <c r="SWO1" s="753"/>
      <c r="SWP1" s="753"/>
      <c r="SWQ1" s="753"/>
      <c r="SWR1" s="753"/>
      <c r="SWS1" s="753"/>
      <c r="SWT1" s="753"/>
      <c r="SWU1" s="753"/>
      <c r="SWV1" s="753"/>
      <c r="SWW1" s="753"/>
      <c r="SWX1" s="753"/>
      <c r="SWY1" s="753"/>
      <c r="SWZ1" s="753"/>
      <c r="SXA1" s="753"/>
      <c r="SXB1" s="753"/>
      <c r="SXC1" s="753"/>
      <c r="SXD1" s="753"/>
      <c r="SXE1" s="753"/>
      <c r="SXF1" s="753"/>
      <c r="SXG1" s="753"/>
      <c r="SXH1" s="753"/>
      <c r="SXI1" s="753"/>
      <c r="SXJ1" s="753"/>
      <c r="SXK1" s="753"/>
      <c r="SXL1" s="753"/>
      <c r="SXM1" s="753"/>
      <c r="SXN1" s="753"/>
      <c r="SXO1" s="753"/>
      <c r="SXP1" s="753"/>
      <c r="SXQ1" s="753"/>
      <c r="SXR1" s="753"/>
      <c r="SXS1" s="753"/>
      <c r="SXT1" s="753"/>
      <c r="SXU1" s="753"/>
      <c r="SXV1" s="753"/>
      <c r="SXW1" s="753"/>
      <c r="SXX1" s="753"/>
      <c r="SXY1" s="753"/>
      <c r="SXZ1" s="753"/>
      <c r="SYA1" s="753"/>
      <c r="SYB1" s="753"/>
      <c r="SYC1" s="753"/>
      <c r="SYD1" s="753"/>
      <c r="SYE1" s="753"/>
      <c r="SYF1" s="753"/>
      <c r="SYG1" s="753"/>
      <c r="SYH1" s="753"/>
      <c r="SYI1" s="753"/>
      <c r="SYJ1" s="753"/>
      <c r="SYK1" s="753"/>
      <c r="SYL1" s="753"/>
      <c r="SYM1" s="753"/>
      <c r="SYN1" s="753"/>
      <c r="SYO1" s="753"/>
      <c r="SYP1" s="753"/>
      <c r="SYQ1" s="753"/>
      <c r="SYR1" s="753"/>
      <c r="SYS1" s="753"/>
      <c r="SYT1" s="753"/>
      <c r="SYU1" s="753"/>
      <c r="SYV1" s="753"/>
      <c r="SYW1" s="753"/>
      <c r="SYX1" s="753"/>
      <c r="SYY1" s="753"/>
      <c r="SYZ1" s="753"/>
      <c r="SZA1" s="753"/>
      <c r="SZB1" s="753"/>
      <c r="SZC1" s="753"/>
      <c r="SZD1" s="753"/>
      <c r="SZE1" s="753"/>
      <c r="SZF1" s="753"/>
      <c r="SZG1" s="753"/>
      <c r="SZH1" s="753"/>
      <c r="SZI1" s="753"/>
      <c r="SZJ1" s="753"/>
      <c r="SZK1" s="753"/>
      <c r="SZL1" s="753"/>
      <c r="SZM1" s="753"/>
      <c r="SZN1" s="753"/>
      <c r="SZO1" s="753"/>
      <c r="SZP1" s="753"/>
      <c r="SZQ1" s="753"/>
      <c r="SZR1" s="753"/>
      <c r="SZS1" s="753"/>
      <c r="SZT1" s="753"/>
      <c r="SZU1" s="753"/>
      <c r="SZV1" s="753"/>
      <c r="SZW1" s="753"/>
      <c r="SZX1" s="753"/>
      <c r="SZY1" s="753"/>
      <c r="SZZ1" s="753"/>
      <c r="TAA1" s="753"/>
      <c r="TAB1" s="753"/>
      <c r="TAC1" s="753"/>
      <c r="TAD1" s="753"/>
      <c r="TAE1" s="753"/>
      <c r="TAF1" s="753"/>
      <c r="TAG1" s="753"/>
      <c r="TAH1" s="753"/>
      <c r="TAI1" s="753"/>
      <c r="TAJ1" s="753"/>
      <c r="TAK1" s="753"/>
      <c r="TAL1" s="753"/>
      <c r="TAM1" s="753"/>
      <c r="TAN1" s="753"/>
      <c r="TAO1" s="753"/>
      <c r="TAP1" s="753"/>
      <c r="TAQ1" s="753"/>
      <c r="TAR1" s="753"/>
      <c r="TAS1" s="753"/>
      <c r="TAT1" s="753"/>
      <c r="TAU1" s="753"/>
      <c r="TAV1" s="753"/>
      <c r="TAW1" s="753"/>
      <c r="TAX1" s="753"/>
      <c r="TAY1" s="753"/>
      <c r="TAZ1" s="753"/>
      <c r="TBA1" s="753"/>
      <c r="TBB1" s="753"/>
      <c r="TBC1" s="753"/>
      <c r="TBD1" s="753"/>
      <c r="TBE1" s="753"/>
      <c r="TBF1" s="753"/>
      <c r="TBG1" s="753"/>
      <c r="TBH1" s="753"/>
      <c r="TBI1" s="753"/>
      <c r="TBJ1" s="753"/>
      <c r="TBK1" s="753"/>
      <c r="TBL1" s="753"/>
      <c r="TBM1" s="753"/>
      <c r="TBN1" s="753"/>
      <c r="TBO1" s="753"/>
      <c r="TBP1" s="753"/>
      <c r="TBQ1" s="753"/>
      <c r="TBR1" s="753"/>
      <c r="TBS1" s="753"/>
      <c r="TBT1" s="753"/>
      <c r="TBU1" s="753"/>
      <c r="TBV1" s="753"/>
      <c r="TBW1" s="753"/>
      <c r="TBX1" s="753"/>
      <c r="TBY1" s="753"/>
      <c r="TBZ1" s="753"/>
      <c r="TCA1" s="753"/>
      <c r="TCB1" s="753"/>
      <c r="TCC1" s="753"/>
      <c r="TCD1" s="753"/>
      <c r="TCE1" s="753"/>
      <c r="TCF1" s="753"/>
      <c r="TCG1" s="753"/>
      <c r="TCH1" s="753"/>
      <c r="TCI1" s="753"/>
      <c r="TCJ1" s="753"/>
      <c r="TCK1" s="753"/>
      <c r="TCL1" s="753"/>
      <c r="TCM1" s="753"/>
      <c r="TCN1" s="753"/>
      <c r="TCO1" s="753"/>
      <c r="TCP1" s="753"/>
      <c r="TCQ1" s="753"/>
      <c r="TCR1" s="753"/>
      <c r="TCS1" s="753"/>
      <c r="TCT1" s="753"/>
      <c r="TCU1" s="753"/>
      <c r="TCV1" s="753"/>
      <c r="TCW1" s="753"/>
      <c r="TCX1" s="753"/>
      <c r="TCY1" s="753"/>
      <c r="TCZ1" s="753"/>
      <c r="TDA1" s="753"/>
      <c r="TDB1" s="753"/>
      <c r="TDC1" s="753"/>
      <c r="TDD1" s="753"/>
      <c r="TDE1" s="753"/>
      <c r="TDF1" s="753"/>
      <c r="TDG1" s="753"/>
      <c r="TDH1" s="753"/>
      <c r="TDI1" s="753"/>
      <c r="TDJ1" s="753"/>
      <c r="TDK1" s="753"/>
      <c r="TDL1" s="753"/>
      <c r="TDM1" s="753"/>
      <c r="TDN1" s="753"/>
      <c r="TDO1" s="753"/>
      <c r="TDP1" s="753"/>
      <c r="TDQ1" s="753"/>
      <c r="TDR1" s="753"/>
      <c r="TDS1" s="753"/>
      <c r="TDT1" s="753"/>
      <c r="TDU1" s="753"/>
      <c r="TDV1" s="753"/>
      <c r="TDW1" s="753"/>
      <c r="TDX1" s="753"/>
      <c r="TDY1" s="753"/>
      <c r="TDZ1" s="753"/>
      <c r="TEA1" s="753"/>
      <c r="TEB1" s="753"/>
      <c r="TEC1" s="753"/>
      <c r="TED1" s="753"/>
      <c r="TEE1" s="753"/>
      <c r="TEF1" s="753"/>
      <c r="TEG1" s="753"/>
      <c r="TEH1" s="753"/>
      <c r="TEI1" s="753"/>
      <c r="TEJ1" s="753"/>
      <c r="TEK1" s="753"/>
      <c r="TEL1" s="753"/>
      <c r="TEM1" s="753"/>
      <c r="TEN1" s="753"/>
      <c r="TEO1" s="753"/>
      <c r="TEP1" s="753"/>
      <c r="TEQ1" s="753"/>
      <c r="TER1" s="753"/>
      <c r="TES1" s="753"/>
      <c r="TET1" s="753"/>
      <c r="TEU1" s="753"/>
      <c r="TEV1" s="753"/>
      <c r="TEW1" s="753"/>
      <c r="TEX1" s="753"/>
      <c r="TEY1" s="753"/>
      <c r="TEZ1" s="753"/>
      <c r="TFA1" s="753"/>
      <c r="TFB1" s="753"/>
      <c r="TFC1" s="753"/>
      <c r="TFD1" s="753"/>
      <c r="TFE1" s="753"/>
      <c r="TFF1" s="753"/>
      <c r="TFG1" s="753"/>
      <c r="TFH1" s="753"/>
      <c r="TFI1" s="753"/>
      <c r="TFJ1" s="753"/>
      <c r="TFK1" s="753"/>
      <c r="TFL1" s="753"/>
      <c r="TFM1" s="753"/>
      <c r="TFN1" s="753"/>
      <c r="TFO1" s="753"/>
      <c r="TFP1" s="753"/>
      <c r="TFQ1" s="753"/>
      <c r="TFR1" s="753"/>
      <c r="TFS1" s="753"/>
      <c r="TFT1" s="753"/>
      <c r="TFU1" s="753"/>
      <c r="TFV1" s="753"/>
      <c r="TFW1" s="753"/>
      <c r="TFX1" s="753"/>
      <c r="TFY1" s="753"/>
      <c r="TFZ1" s="753"/>
      <c r="TGA1" s="753"/>
      <c r="TGB1" s="753"/>
      <c r="TGC1" s="753"/>
      <c r="TGD1" s="753"/>
      <c r="TGE1" s="753"/>
      <c r="TGF1" s="753"/>
      <c r="TGG1" s="753"/>
      <c r="TGH1" s="753"/>
      <c r="TGI1" s="753"/>
      <c r="TGJ1" s="753"/>
      <c r="TGK1" s="753"/>
      <c r="TGL1" s="753"/>
      <c r="TGM1" s="753"/>
      <c r="TGN1" s="753"/>
      <c r="TGO1" s="753"/>
      <c r="TGP1" s="753"/>
      <c r="TGQ1" s="753"/>
      <c r="TGR1" s="753"/>
      <c r="TGS1" s="753"/>
      <c r="TGT1" s="753"/>
      <c r="TGU1" s="753"/>
      <c r="TGV1" s="753"/>
      <c r="TGW1" s="753"/>
      <c r="TGX1" s="753"/>
      <c r="TGY1" s="753"/>
      <c r="TGZ1" s="753"/>
      <c r="THA1" s="753"/>
      <c r="THB1" s="753"/>
      <c r="THC1" s="753"/>
      <c r="THD1" s="753"/>
      <c r="THE1" s="753"/>
      <c r="THF1" s="753"/>
      <c r="THG1" s="753"/>
      <c r="THH1" s="753"/>
      <c r="THI1" s="753"/>
      <c r="THJ1" s="753"/>
      <c r="THK1" s="753"/>
      <c r="THL1" s="753"/>
      <c r="THM1" s="753"/>
      <c r="THN1" s="753"/>
      <c r="THO1" s="753"/>
      <c r="THP1" s="753"/>
      <c r="THQ1" s="753"/>
      <c r="THR1" s="753"/>
      <c r="THS1" s="753"/>
      <c r="THT1" s="753"/>
      <c r="THU1" s="753"/>
      <c r="THV1" s="753"/>
      <c r="THW1" s="753"/>
      <c r="THX1" s="753"/>
      <c r="THY1" s="753"/>
      <c r="THZ1" s="753"/>
      <c r="TIA1" s="753"/>
      <c r="TIB1" s="753"/>
      <c r="TIC1" s="753"/>
      <c r="TID1" s="753"/>
      <c r="TIE1" s="753"/>
      <c r="TIF1" s="753"/>
      <c r="TIG1" s="753"/>
      <c r="TIH1" s="753"/>
      <c r="TII1" s="753"/>
      <c r="TIJ1" s="753"/>
      <c r="TIK1" s="753"/>
      <c r="TIL1" s="753"/>
      <c r="TIM1" s="753"/>
      <c r="TIN1" s="753"/>
      <c r="TIO1" s="753"/>
      <c r="TIP1" s="753"/>
      <c r="TIQ1" s="753"/>
      <c r="TIR1" s="753"/>
      <c r="TIS1" s="753"/>
      <c r="TIT1" s="753"/>
      <c r="TIU1" s="753"/>
      <c r="TIV1" s="753"/>
      <c r="TIW1" s="753"/>
      <c r="TIX1" s="753"/>
      <c r="TIY1" s="753"/>
      <c r="TIZ1" s="753"/>
      <c r="TJA1" s="753"/>
      <c r="TJB1" s="753"/>
      <c r="TJC1" s="753"/>
      <c r="TJD1" s="753"/>
      <c r="TJE1" s="753"/>
      <c r="TJF1" s="753"/>
      <c r="TJG1" s="753"/>
      <c r="TJH1" s="753"/>
      <c r="TJI1" s="753"/>
      <c r="TJJ1" s="753"/>
      <c r="TJK1" s="753"/>
      <c r="TJL1" s="753"/>
      <c r="TJM1" s="753"/>
      <c r="TJN1" s="753"/>
      <c r="TJO1" s="753"/>
      <c r="TJP1" s="753"/>
      <c r="TJQ1" s="753"/>
      <c r="TJR1" s="753"/>
      <c r="TJS1" s="753"/>
      <c r="TJT1" s="753"/>
      <c r="TJU1" s="753"/>
      <c r="TJV1" s="753"/>
      <c r="TJW1" s="753"/>
      <c r="TJX1" s="753"/>
      <c r="TJY1" s="753"/>
      <c r="TJZ1" s="753"/>
      <c r="TKA1" s="753"/>
      <c r="TKB1" s="753"/>
      <c r="TKC1" s="753"/>
      <c r="TKD1" s="753"/>
      <c r="TKE1" s="753"/>
      <c r="TKF1" s="753"/>
      <c r="TKG1" s="753"/>
      <c r="TKH1" s="753"/>
      <c r="TKI1" s="753"/>
      <c r="TKJ1" s="753"/>
      <c r="TKK1" s="753"/>
      <c r="TKL1" s="753"/>
      <c r="TKM1" s="753"/>
      <c r="TKN1" s="753"/>
      <c r="TKO1" s="753"/>
      <c r="TKP1" s="753"/>
      <c r="TKQ1" s="753"/>
      <c r="TKR1" s="753"/>
      <c r="TKS1" s="753"/>
      <c r="TKT1" s="753"/>
      <c r="TKU1" s="753"/>
      <c r="TKV1" s="753"/>
      <c r="TKW1" s="753"/>
      <c r="TKX1" s="753"/>
      <c r="TKY1" s="753"/>
      <c r="TKZ1" s="753"/>
      <c r="TLA1" s="753"/>
      <c r="TLB1" s="753"/>
      <c r="TLC1" s="753"/>
      <c r="TLD1" s="753"/>
      <c r="TLE1" s="753"/>
      <c r="TLF1" s="753"/>
      <c r="TLG1" s="753"/>
      <c r="TLH1" s="753"/>
      <c r="TLI1" s="753"/>
      <c r="TLJ1" s="753"/>
      <c r="TLK1" s="753"/>
      <c r="TLL1" s="753"/>
      <c r="TLM1" s="753"/>
      <c r="TLN1" s="753"/>
      <c r="TLO1" s="753"/>
      <c r="TLP1" s="753"/>
      <c r="TLQ1" s="753"/>
      <c r="TLR1" s="753"/>
      <c r="TLS1" s="753"/>
      <c r="TLT1" s="753"/>
      <c r="TLU1" s="753"/>
      <c r="TLV1" s="753"/>
      <c r="TLW1" s="753"/>
      <c r="TLX1" s="753"/>
      <c r="TLY1" s="753"/>
      <c r="TLZ1" s="753"/>
      <c r="TMA1" s="753"/>
      <c r="TMB1" s="753"/>
      <c r="TMC1" s="753"/>
      <c r="TMD1" s="753"/>
      <c r="TME1" s="753"/>
      <c r="TMF1" s="753"/>
      <c r="TMG1" s="753"/>
      <c r="TMH1" s="753"/>
      <c r="TMI1" s="753"/>
      <c r="TMJ1" s="753"/>
      <c r="TMK1" s="753"/>
      <c r="TML1" s="753"/>
      <c r="TMM1" s="753"/>
      <c r="TMN1" s="753"/>
      <c r="TMO1" s="753"/>
      <c r="TMP1" s="753"/>
      <c r="TMQ1" s="753"/>
      <c r="TMR1" s="753"/>
      <c r="TMS1" s="753"/>
      <c r="TMT1" s="753"/>
      <c r="TMU1" s="753"/>
      <c r="TMV1" s="753"/>
      <c r="TMW1" s="753"/>
      <c r="TMX1" s="753"/>
      <c r="TMY1" s="753"/>
      <c r="TMZ1" s="753"/>
      <c r="TNA1" s="753"/>
      <c r="TNB1" s="753"/>
      <c r="TNC1" s="753"/>
      <c r="TND1" s="753"/>
      <c r="TNE1" s="753"/>
      <c r="TNF1" s="753"/>
      <c r="TNG1" s="753"/>
      <c r="TNH1" s="753"/>
      <c r="TNI1" s="753"/>
      <c r="TNJ1" s="753"/>
      <c r="TNK1" s="753"/>
      <c r="TNL1" s="753"/>
      <c r="TNM1" s="753"/>
      <c r="TNN1" s="753"/>
      <c r="TNO1" s="753"/>
      <c r="TNP1" s="753"/>
      <c r="TNQ1" s="753"/>
      <c r="TNR1" s="753"/>
      <c r="TNS1" s="753"/>
      <c r="TNT1" s="753"/>
      <c r="TNU1" s="753"/>
      <c r="TNV1" s="753"/>
      <c r="TNW1" s="753"/>
      <c r="TNX1" s="753"/>
      <c r="TNY1" s="753"/>
      <c r="TNZ1" s="753"/>
      <c r="TOA1" s="753"/>
      <c r="TOB1" s="753"/>
      <c r="TOC1" s="753"/>
      <c r="TOD1" s="753"/>
      <c r="TOE1" s="753"/>
      <c r="TOF1" s="753"/>
      <c r="TOG1" s="753"/>
      <c r="TOH1" s="753"/>
      <c r="TOI1" s="753"/>
      <c r="TOJ1" s="753"/>
      <c r="TOK1" s="753"/>
      <c r="TOL1" s="753"/>
      <c r="TOM1" s="753"/>
      <c r="TON1" s="753"/>
      <c r="TOO1" s="753"/>
      <c r="TOP1" s="753"/>
      <c r="TOQ1" s="753"/>
      <c r="TOR1" s="753"/>
      <c r="TOS1" s="753"/>
      <c r="TOT1" s="753"/>
      <c r="TOU1" s="753"/>
      <c r="TOV1" s="753"/>
      <c r="TOW1" s="753"/>
      <c r="TOX1" s="753"/>
      <c r="TOY1" s="753"/>
      <c r="TOZ1" s="753"/>
      <c r="TPA1" s="753"/>
      <c r="TPB1" s="753"/>
      <c r="TPC1" s="753"/>
      <c r="TPD1" s="753"/>
      <c r="TPE1" s="753"/>
      <c r="TPF1" s="753"/>
      <c r="TPG1" s="753"/>
      <c r="TPH1" s="753"/>
      <c r="TPI1" s="753"/>
      <c r="TPJ1" s="753"/>
      <c r="TPK1" s="753"/>
      <c r="TPL1" s="753"/>
      <c r="TPM1" s="753"/>
      <c r="TPN1" s="753"/>
      <c r="TPO1" s="753"/>
      <c r="TPP1" s="753"/>
      <c r="TPQ1" s="753"/>
      <c r="TPR1" s="753"/>
      <c r="TPS1" s="753"/>
      <c r="TPT1" s="753"/>
      <c r="TPU1" s="753"/>
      <c r="TPV1" s="753"/>
      <c r="TPW1" s="753"/>
      <c r="TPX1" s="753"/>
      <c r="TPY1" s="753"/>
      <c r="TPZ1" s="753"/>
      <c r="TQA1" s="753"/>
      <c r="TQB1" s="753"/>
      <c r="TQC1" s="753"/>
      <c r="TQD1" s="753"/>
      <c r="TQE1" s="753"/>
      <c r="TQF1" s="753"/>
      <c r="TQG1" s="753"/>
      <c r="TQH1" s="753"/>
      <c r="TQI1" s="753"/>
      <c r="TQJ1" s="753"/>
      <c r="TQK1" s="753"/>
      <c r="TQL1" s="753"/>
      <c r="TQM1" s="753"/>
      <c r="TQN1" s="753"/>
      <c r="TQO1" s="753"/>
      <c r="TQP1" s="753"/>
      <c r="TQQ1" s="753"/>
      <c r="TQR1" s="753"/>
      <c r="TQS1" s="753"/>
      <c r="TQT1" s="753"/>
      <c r="TQU1" s="753"/>
      <c r="TQV1" s="753"/>
      <c r="TQW1" s="753"/>
      <c r="TQX1" s="753"/>
      <c r="TQY1" s="753"/>
      <c r="TQZ1" s="753"/>
      <c r="TRA1" s="753"/>
      <c r="TRB1" s="753"/>
      <c r="TRC1" s="753"/>
      <c r="TRD1" s="753"/>
      <c r="TRE1" s="753"/>
      <c r="TRF1" s="753"/>
      <c r="TRG1" s="753"/>
      <c r="TRH1" s="753"/>
      <c r="TRI1" s="753"/>
      <c r="TRJ1" s="753"/>
      <c r="TRK1" s="753"/>
      <c r="TRL1" s="753"/>
      <c r="TRM1" s="753"/>
      <c r="TRN1" s="753"/>
      <c r="TRO1" s="753"/>
      <c r="TRP1" s="753"/>
      <c r="TRQ1" s="753"/>
      <c r="TRR1" s="753"/>
      <c r="TRS1" s="753"/>
      <c r="TRT1" s="753"/>
      <c r="TRU1" s="753"/>
      <c r="TRV1" s="753"/>
      <c r="TRW1" s="753"/>
      <c r="TRX1" s="753"/>
      <c r="TRY1" s="753"/>
      <c r="TRZ1" s="753"/>
      <c r="TSA1" s="753"/>
      <c r="TSB1" s="753"/>
      <c r="TSC1" s="753"/>
      <c r="TSD1" s="753"/>
      <c r="TSE1" s="753"/>
      <c r="TSF1" s="753"/>
      <c r="TSG1" s="753"/>
      <c r="TSH1" s="753"/>
      <c r="TSI1" s="753"/>
      <c r="TSJ1" s="753"/>
      <c r="TSK1" s="753"/>
      <c r="TSL1" s="753"/>
      <c r="TSM1" s="753"/>
      <c r="TSN1" s="753"/>
      <c r="TSO1" s="753"/>
      <c r="TSP1" s="753"/>
      <c r="TSQ1" s="753"/>
      <c r="TSR1" s="753"/>
      <c r="TSS1" s="753"/>
      <c r="TST1" s="753"/>
      <c r="TSU1" s="753"/>
      <c r="TSV1" s="753"/>
      <c r="TSW1" s="753"/>
      <c r="TSX1" s="753"/>
      <c r="TSY1" s="753"/>
      <c r="TSZ1" s="753"/>
      <c r="TTA1" s="753"/>
      <c r="TTB1" s="753"/>
      <c r="TTC1" s="753"/>
      <c r="TTD1" s="753"/>
      <c r="TTE1" s="753"/>
      <c r="TTF1" s="753"/>
      <c r="TTG1" s="753"/>
      <c r="TTH1" s="753"/>
      <c r="TTI1" s="753"/>
      <c r="TTJ1" s="753"/>
      <c r="TTK1" s="753"/>
      <c r="TTL1" s="753"/>
      <c r="TTM1" s="753"/>
      <c r="TTN1" s="753"/>
      <c r="TTO1" s="753"/>
      <c r="TTP1" s="753"/>
      <c r="TTQ1" s="753"/>
      <c r="TTR1" s="753"/>
      <c r="TTS1" s="753"/>
      <c r="TTT1" s="753"/>
      <c r="TTU1" s="753"/>
      <c r="TTV1" s="753"/>
      <c r="TTW1" s="753"/>
      <c r="TTX1" s="753"/>
      <c r="TTY1" s="753"/>
      <c r="TTZ1" s="753"/>
      <c r="TUA1" s="753"/>
      <c r="TUB1" s="753"/>
      <c r="TUC1" s="753"/>
      <c r="TUD1" s="753"/>
      <c r="TUE1" s="753"/>
      <c r="TUF1" s="753"/>
      <c r="TUG1" s="753"/>
      <c r="TUH1" s="753"/>
      <c r="TUI1" s="753"/>
      <c r="TUJ1" s="753"/>
      <c r="TUK1" s="753"/>
      <c r="TUL1" s="753"/>
      <c r="TUM1" s="753"/>
      <c r="TUN1" s="753"/>
      <c r="TUO1" s="753"/>
      <c r="TUP1" s="753"/>
      <c r="TUQ1" s="753"/>
      <c r="TUR1" s="753"/>
      <c r="TUS1" s="753"/>
      <c r="TUT1" s="753"/>
      <c r="TUU1" s="753"/>
      <c r="TUV1" s="753"/>
      <c r="TUW1" s="753"/>
      <c r="TUX1" s="753"/>
      <c r="TUY1" s="753"/>
      <c r="TUZ1" s="753"/>
      <c r="TVA1" s="753"/>
      <c r="TVB1" s="753"/>
      <c r="TVC1" s="753"/>
      <c r="TVD1" s="753"/>
      <c r="TVE1" s="753"/>
      <c r="TVF1" s="753"/>
      <c r="TVG1" s="753"/>
      <c r="TVH1" s="753"/>
      <c r="TVI1" s="753"/>
      <c r="TVJ1" s="753"/>
      <c r="TVK1" s="753"/>
      <c r="TVL1" s="753"/>
      <c r="TVM1" s="753"/>
      <c r="TVN1" s="753"/>
      <c r="TVO1" s="753"/>
      <c r="TVP1" s="753"/>
      <c r="TVQ1" s="753"/>
      <c r="TVR1" s="753"/>
      <c r="TVS1" s="753"/>
      <c r="TVT1" s="753"/>
      <c r="TVU1" s="753"/>
      <c r="TVV1" s="753"/>
      <c r="TVW1" s="753"/>
      <c r="TVX1" s="753"/>
      <c r="TVY1" s="753"/>
      <c r="TVZ1" s="753"/>
      <c r="TWA1" s="753"/>
      <c r="TWB1" s="753"/>
      <c r="TWC1" s="753"/>
      <c r="TWD1" s="753"/>
      <c r="TWE1" s="753"/>
      <c r="TWF1" s="753"/>
      <c r="TWG1" s="753"/>
      <c r="TWH1" s="753"/>
      <c r="TWI1" s="753"/>
      <c r="TWJ1" s="753"/>
      <c r="TWK1" s="753"/>
      <c r="TWL1" s="753"/>
      <c r="TWM1" s="753"/>
      <c r="TWN1" s="753"/>
      <c r="TWO1" s="753"/>
      <c r="TWP1" s="753"/>
      <c r="TWQ1" s="753"/>
      <c r="TWR1" s="753"/>
      <c r="TWS1" s="753"/>
      <c r="TWT1" s="753"/>
      <c r="TWU1" s="753"/>
      <c r="TWV1" s="753"/>
      <c r="TWW1" s="753"/>
      <c r="TWX1" s="753"/>
      <c r="TWY1" s="753"/>
      <c r="TWZ1" s="753"/>
      <c r="TXA1" s="753"/>
      <c r="TXB1" s="753"/>
      <c r="TXC1" s="753"/>
      <c r="TXD1" s="753"/>
      <c r="TXE1" s="753"/>
      <c r="TXF1" s="753"/>
      <c r="TXG1" s="753"/>
      <c r="TXH1" s="753"/>
      <c r="TXI1" s="753"/>
      <c r="TXJ1" s="753"/>
      <c r="TXK1" s="753"/>
      <c r="TXL1" s="753"/>
      <c r="TXM1" s="753"/>
      <c r="TXN1" s="753"/>
      <c r="TXO1" s="753"/>
      <c r="TXP1" s="753"/>
      <c r="TXQ1" s="753"/>
      <c r="TXR1" s="753"/>
      <c r="TXS1" s="753"/>
      <c r="TXT1" s="753"/>
      <c r="TXU1" s="753"/>
      <c r="TXV1" s="753"/>
      <c r="TXW1" s="753"/>
      <c r="TXX1" s="753"/>
      <c r="TXY1" s="753"/>
      <c r="TXZ1" s="753"/>
      <c r="TYA1" s="753"/>
      <c r="TYB1" s="753"/>
      <c r="TYC1" s="753"/>
      <c r="TYD1" s="753"/>
      <c r="TYE1" s="753"/>
      <c r="TYF1" s="753"/>
      <c r="TYG1" s="753"/>
      <c r="TYH1" s="753"/>
      <c r="TYI1" s="753"/>
      <c r="TYJ1" s="753"/>
      <c r="TYK1" s="753"/>
      <c r="TYL1" s="753"/>
      <c r="TYM1" s="753"/>
      <c r="TYN1" s="753"/>
      <c r="TYO1" s="753"/>
      <c r="TYP1" s="753"/>
      <c r="TYQ1" s="753"/>
      <c r="TYR1" s="753"/>
      <c r="TYS1" s="753"/>
      <c r="TYT1" s="753"/>
      <c r="TYU1" s="753"/>
      <c r="TYV1" s="753"/>
      <c r="TYW1" s="753"/>
      <c r="TYX1" s="753"/>
      <c r="TYY1" s="753"/>
      <c r="TYZ1" s="753"/>
      <c r="TZA1" s="753"/>
      <c r="TZB1" s="753"/>
      <c r="TZC1" s="753"/>
      <c r="TZD1" s="753"/>
      <c r="TZE1" s="753"/>
      <c r="TZF1" s="753"/>
      <c r="TZG1" s="753"/>
      <c r="TZH1" s="753"/>
      <c r="TZI1" s="753"/>
      <c r="TZJ1" s="753"/>
      <c r="TZK1" s="753"/>
      <c r="TZL1" s="753"/>
      <c r="TZM1" s="753"/>
      <c r="TZN1" s="753"/>
      <c r="TZO1" s="753"/>
      <c r="TZP1" s="753"/>
      <c r="TZQ1" s="753"/>
      <c r="TZR1" s="753"/>
      <c r="TZS1" s="753"/>
      <c r="TZT1" s="753"/>
      <c r="TZU1" s="753"/>
      <c r="TZV1" s="753"/>
      <c r="TZW1" s="753"/>
      <c r="TZX1" s="753"/>
      <c r="TZY1" s="753"/>
      <c r="TZZ1" s="753"/>
      <c r="UAA1" s="753"/>
      <c r="UAB1" s="753"/>
      <c r="UAC1" s="753"/>
      <c r="UAD1" s="753"/>
      <c r="UAE1" s="753"/>
      <c r="UAF1" s="753"/>
      <c r="UAG1" s="753"/>
      <c r="UAH1" s="753"/>
      <c r="UAI1" s="753"/>
      <c r="UAJ1" s="753"/>
      <c r="UAK1" s="753"/>
      <c r="UAL1" s="753"/>
      <c r="UAM1" s="753"/>
      <c r="UAN1" s="753"/>
      <c r="UAO1" s="753"/>
      <c r="UAP1" s="753"/>
      <c r="UAQ1" s="753"/>
      <c r="UAR1" s="753"/>
      <c r="UAS1" s="753"/>
      <c r="UAT1" s="753"/>
      <c r="UAU1" s="753"/>
      <c r="UAV1" s="753"/>
      <c r="UAW1" s="753"/>
      <c r="UAX1" s="753"/>
      <c r="UAY1" s="753"/>
      <c r="UAZ1" s="753"/>
      <c r="UBA1" s="753"/>
      <c r="UBB1" s="753"/>
      <c r="UBC1" s="753"/>
      <c r="UBD1" s="753"/>
      <c r="UBE1" s="753"/>
      <c r="UBF1" s="753"/>
      <c r="UBG1" s="753"/>
      <c r="UBH1" s="753"/>
      <c r="UBI1" s="753"/>
      <c r="UBJ1" s="753"/>
      <c r="UBK1" s="753"/>
      <c r="UBL1" s="753"/>
      <c r="UBM1" s="753"/>
      <c r="UBN1" s="753"/>
      <c r="UBO1" s="753"/>
      <c r="UBP1" s="753"/>
      <c r="UBQ1" s="753"/>
      <c r="UBR1" s="753"/>
      <c r="UBS1" s="753"/>
      <c r="UBT1" s="753"/>
      <c r="UBU1" s="753"/>
      <c r="UBV1" s="753"/>
      <c r="UBW1" s="753"/>
      <c r="UBX1" s="753"/>
      <c r="UBY1" s="753"/>
      <c r="UBZ1" s="753"/>
      <c r="UCA1" s="753"/>
      <c r="UCB1" s="753"/>
      <c r="UCC1" s="753"/>
      <c r="UCD1" s="753"/>
      <c r="UCE1" s="753"/>
      <c r="UCF1" s="753"/>
      <c r="UCG1" s="753"/>
      <c r="UCH1" s="753"/>
      <c r="UCI1" s="753"/>
      <c r="UCJ1" s="753"/>
      <c r="UCK1" s="753"/>
      <c r="UCL1" s="753"/>
      <c r="UCM1" s="753"/>
      <c r="UCN1" s="753"/>
      <c r="UCO1" s="753"/>
      <c r="UCP1" s="753"/>
      <c r="UCQ1" s="753"/>
      <c r="UCR1" s="753"/>
      <c r="UCS1" s="753"/>
      <c r="UCT1" s="753"/>
      <c r="UCU1" s="753"/>
      <c r="UCV1" s="753"/>
      <c r="UCW1" s="753"/>
      <c r="UCX1" s="753"/>
      <c r="UCY1" s="753"/>
      <c r="UCZ1" s="753"/>
      <c r="UDA1" s="753"/>
      <c r="UDB1" s="753"/>
      <c r="UDC1" s="753"/>
      <c r="UDD1" s="753"/>
      <c r="UDE1" s="753"/>
      <c r="UDF1" s="753"/>
      <c r="UDG1" s="753"/>
      <c r="UDH1" s="753"/>
      <c r="UDI1" s="753"/>
      <c r="UDJ1" s="753"/>
      <c r="UDK1" s="753"/>
      <c r="UDL1" s="753"/>
      <c r="UDM1" s="753"/>
      <c r="UDN1" s="753"/>
      <c r="UDO1" s="753"/>
      <c r="UDP1" s="753"/>
      <c r="UDQ1" s="753"/>
      <c r="UDR1" s="753"/>
      <c r="UDS1" s="753"/>
      <c r="UDT1" s="753"/>
      <c r="UDU1" s="753"/>
      <c r="UDV1" s="753"/>
      <c r="UDW1" s="753"/>
      <c r="UDX1" s="753"/>
      <c r="UDY1" s="753"/>
      <c r="UDZ1" s="753"/>
      <c r="UEA1" s="753"/>
      <c r="UEB1" s="753"/>
      <c r="UEC1" s="753"/>
      <c r="UED1" s="753"/>
      <c r="UEE1" s="753"/>
      <c r="UEF1" s="753"/>
      <c r="UEG1" s="753"/>
      <c r="UEH1" s="753"/>
      <c r="UEI1" s="753"/>
      <c r="UEJ1" s="753"/>
      <c r="UEK1" s="753"/>
      <c r="UEL1" s="753"/>
      <c r="UEM1" s="753"/>
      <c r="UEN1" s="753"/>
      <c r="UEO1" s="753"/>
      <c r="UEP1" s="753"/>
      <c r="UEQ1" s="753"/>
      <c r="UER1" s="753"/>
      <c r="UES1" s="753"/>
      <c r="UET1" s="753"/>
      <c r="UEU1" s="753"/>
      <c r="UEV1" s="753"/>
      <c r="UEW1" s="753"/>
      <c r="UEX1" s="753"/>
      <c r="UEY1" s="753"/>
      <c r="UEZ1" s="753"/>
      <c r="UFA1" s="753"/>
      <c r="UFB1" s="753"/>
      <c r="UFC1" s="753"/>
      <c r="UFD1" s="753"/>
      <c r="UFE1" s="753"/>
      <c r="UFF1" s="753"/>
      <c r="UFG1" s="753"/>
      <c r="UFH1" s="753"/>
      <c r="UFI1" s="753"/>
      <c r="UFJ1" s="753"/>
      <c r="UFK1" s="753"/>
      <c r="UFL1" s="753"/>
      <c r="UFM1" s="753"/>
      <c r="UFN1" s="753"/>
      <c r="UFO1" s="753"/>
      <c r="UFP1" s="753"/>
      <c r="UFQ1" s="753"/>
      <c r="UFR1" s="753"/>
      <c r="UFS1" s="753"/>
      <c r="UFT1" s="753"/>
      <c r="UFU1" s="753"/>
      <c r="UFV1" s="753"/>
      <c r="UFW1" s="753"/>
      <c r="UFX1" s="753"/>
      <c r="UFY1" s="753"/>
      <c r="UFZ1" s="753"/>
      <c r="UGA1" s="753"/>
      <c r="UGB1" s="753"/>
      <c r="UGC1" s="753"/>
      <c r="UGD1" s="753"/>
      <c r="UGE1" s="753"/>
      <c r="UGF1" s="753"/>
      <c r="UGG1" s="753"/>
      <c r="UGH1" s="753"/>
      <c r="UGI1" s="753"/>
      <c r="UGJ1" s="753"/>
      <c r="UGK1" s="753"/>
      <c r="UGL1" s="753"/>
      <c r="UGM1" s="753"/>
      <c r="UGN1" s="753"/>
      <c r="UGO1" s="753"/>
      <c r="UGP1" s="753"/>
      <c r="UGQ1" s="753"/>
      <c r="UGR1" s="753"/>
      <c r="UGS1" s="753"/>
      <c r="UGT1" s="753"/>
      <c r="UGU1" s="753"/>
      <c r="UGV1" s="753"/>
      <c r="UGW1" s="753"/>
      <c r="UGX1" s="753"/>
      <c r="UGY1" s="753"/>
      <c r="UGZ1" s="753"/>
      <c r="UHA1" s="753"/>
      <c r="UHB1" s="753"/>
      <c r="UHC1" s="753"/>
      <c r="UHD1" s="753"/>
      <c r="UHE1" s="753"/>
      <c r="UHF1" s="753"/>
      <c r="UHG1" s="753"/>
      <c r="UHH1" s="753"/>
      <c r="UHI1" s="753"/>
      <c r="UHJ1" s="753"/>
      <c r="UHK1" s="753"/>
      <c r="UHL1" s="753"/>
      <c r="UHM1" s="753"/>
      <c r="UHN1" s="753"/>
      <c r="UHO1" s="753"/>
      <c r="UHP1" s="753"/>
      <c r="UHQ1" s="753"/>
      <c r="UHR1" s="753"/>
      <c r="UHS1" s="753"/>
      <c r="UHT1" s="753"/>
      <c r="UHU1" s="753"/>
      <c r="UHV1" s="753"/>
      <c r="UHW1" s="753"/>
      <c r="UHX1" s="753"/>
      <c r="UHY1" s="753"/>
      <c r="UHZ1" s="753"/>
      <c r="UIA1" s="753"/>
      <c r="UIB1" s="753"/>
      <c r="UIC1" s="753"/>
      <c r="UID1" s="753"/>
      <c r="UIE1" s="753"/>
      <c r="UIF1" s="753"/>
      <c r="UIG1" s="753"/>
      <c r="UIH1" s="753"/>
      <c r="UII1" s="753"/>
      <c r="UIJ1" s="753"/>
      <c r="UIK1" s="753"/>
      <c r="UIL1" s="753"/>
      <c r="UIM1" s="753"/>
      <c r="UIN1" s="753"/>
      <c r="UIO1" s="753"/>
      <c r="UIP1" s="753"/>
      <c r="UIQ1" s="753"/>
      <c r="UIR1" s="753"/>
      <c r="UIS1" s="753"/>
      <c r="UIT1" s="753"/>
      <c r="UIU1" s="753"/>
      <c r="UIV1" s="753"/>
      <c r="UIW1" s="753"/>
      <c r="UIX1" s="753"/>
      <c r="UIY1" s="753"/>
      <c r="UIZ1" s="753"/>
      <c r="UJA1" s="753"/>
      <c r="UJB1" s="753"/>
      <c r="UJC1" s="753"/>
      <c r="UJD1" s="753"/>
      <c r="UJE1" s="753"/>
      <c r="UJF1" s="753"/>
      <c r="UJG1" s="753"/>
      <c r="UJH1" s="753"/>
      <c r="UJI1" s="753"/>
      <c r="UJJ1" s="753"/>
      <c r="UJK1" s="753"/>
      <c r="UJL1" s="753"/>
      <c r="UJM1" s="753"/>
      <c r="UJN1" s="753"/>
      <c r="UJO1" s="753"/>
      <c r="UJP1" s="753"/>
      <c r="UJQ1" s="753"/>
      <c r="UJR1" s="753"/>
      <c r="UJS1" s="753"/>
      <c r="UJT1" s="753"/>
      <c r="UJU1" s="753"/>
      <c r="UJV1" s="753"/>
      <c r="UJW1" s="753"/>
      <c r="UJX1" s="753"/>
      <c r="UJY1" s="753"/>
      <c r="UJZ1" s="753"/>
      <c r="UKA1" s="753"/>
      <c r="UKB1" s="753"/>
      <c r="UKC1" s="753"/>
      <c r="UKD1" s="753"/>
      <c r="UKE1" s="753"/>
      <c r="UKF1" s="753"/>
      <c r="UKG1" s="753"/>
      <c r="UKH1" s="753"/>
      <c r="UKI1" s="753"/>
      <c r="UKJ1" s="753"/>
      <c r="UKK1" s="753"/>
      <c r="UKL1" s="753"/>
      <c r="UKM1" s="753"/>
      <c r="UKN1" s="753"/>
      <c r="UKO1" s="753"/>
      <c r="UKP1" s="753"/>
      <c r="UKQ1" s="753"/>
      <c r="UKR1" s="753"/>
      <c r="UKS1" s="753"/>
      <c r="UKT1" s="753"/>
      <c r="UKU1" s="753"/>
      <c r="UKV1" s="753"/>
      <c r="UKW1" s="753"/>
      <c r="UKX1" s="753"/>
      <c r="UKY1" s="753"/>
      <c r="UKZ1" s="753"/>
      <c r="ULA1" s="753"/>
      <c r="ULB1" s="753"/>
      <c r="ULC1" s="753"/>
      <c r="ULD1" s="753"/>
      <c r="ULE1" s="753"/>
      <c r="ULF1" s="753"/>
      <c r="ULG1" s="753"/>
      <c r="ULH1" s="753"/>
      <c r="ULI1" s="753"/>
      <c r="ULJ1" s="753"/>
      <c r="ULK1" s="753"/>
      <c r="ULL1" s="753"/>
      <c r="ULM1" s="753"/>
      <c r="ULN1" s="753"/>
      <c r="ULO1" s="753"/>
      <c r="ULP1" s="753"/>
      <c r="ULQ1" s="753"/>
      <c r="ULR1" s="753"/>
      <c r="ULS1" s="753"/>
      <c r="ULT1" s="753"/>
      <c r="ULU1" s="753"/>
      <c r="ULV1" s="753"/>
      <c r="ULW1" s="753"/>
      <c r="ULX1" s="753"/>
      <c r="ULY1" s="753"/>
      <c r="ULZ1" s="753"/>
      <c r="UMA1" s="753"/>
      <c r="UMB1" s="753"/>
      <c r="UMC1" s="753"/>
      <c r="UMD1" s="753"/>
      <c r="UME1" s="753"/>
      <c r="UMF1" s="753"/>
      <c r="UMG1" s="753"/>
      <c r="UMH1" s="753"/>
      <c r="UMI1" s="753"/>
      <c r="UMJ1" s="753"/>
      <c r="UMK1" s="753"/>
      <c r="UML1" s="753"/>
      <c r="UMM1" s="753"/>
      <c r="UMN1" s="753"/>
      <c r="UMO1" s="753"/>
      <c r="UMP1" s="753"/>
      <c r="UMQ1" s="753"/>
      <c r="UMR1" s="753"/>
      <c r="UMS1" s="753"/>
      <c r="UMT1" s="753"/>
      <c r="UMU1" s="753"/>
      <c r="UMV1" s="753"/>
      <c r="UMW1" s="753"/>
      <c r="UMX1" s="753"/>
      <c r="UMY1" s="753"/>
      <c r="UMZ1" s="753"/>
      <c r="UNA1" s="753"/>
      <c r="UNB1" s="753"/>
      <c r="UNC1" s="753"/>
      <c r="UND1" s="753"/>
      <c r="UNE1" s="753"/>
      <c r="UNF1" s="753"/>
      <c r="UNG1" s="753"/>
      <c r="UNH1" s="753"/>
      <c r="UNI1" s="753"/>
      <c r="UNJ1" s="753"/>
      <c r="UNK1" s="753"/>
      <c r="UNL1" s="753"/>
      <c r="UNM1" s="753"/>
      <c r="UNN1" s="753"/>
      <c r="UNO1" s="753"/>
      <c r="UNP1" s="753"/>
      <c r="UNQ1" s="753"/>
      <c r="UNR1" s="753"/>
      <c r="UNS1" s="753"/>
      <c r="UNT1" s="753"/>
      <c r="UNU1" s="753"/>
      <c r="UNV1" s="753"/>
      <c r="UNW1" s="753"/>
      <c r="UNX1" s="753"/>
      <c r="UNY1" s="753"/>
      <c r="UNZ1" s="753"/>
      <c r="UOA1" s="753"/>
      <c r="UOB1" s="753"/>
      <c r="UOC1" s="753"/>
      <c r="UOD1" s="753"/>
      <c r="UOE1" s="753"/>
      <c r="UOF1" s="753"/>
      <c r="UOG1" s="753"/>
      <c r="UOH1" s="753"/>
      <c r="UOI1" s="753"/>
      <c r="UOJ1" s="753"/>
      <c r="UOK1" s="753"/>
      <c r="UOL1" s="753"/>
      <c r="UOM1" s="753"/>
      <c r="UON1" s="753"/>
      <c r="UOO1" s="753"/>
      <c r="UOP1" s="753"/>
      <c r="UOQ1" s="753"/>
      <c r="UOR1" s="753"/>
      <c r="UOS1" s="753"/>
      <c r="UOT1" s="753"/>
      <c r="UOU1" s="753"/>
      <c r="UOV1" s="753"/>
      <c r="UOW1" s="753"/>
      <c r="UOX1" s="753"/>
      <c r="UOY1" s="753"/>
      <c r="UOZ1" s="753"/>
      <c r="UPA1" s="753"/>
      <c r="UPB1" s="753"/>
      <c r="UPC1" s="753"/>
      <c r="UPD1" s="753"/>
      <c r="UPE1" s="753"/>
      <c r="UPF1" s="753"/>
      <c r="UPG1" s="753"/>
      <c r="UPH1" s="753"/>
      <c r="UPI1" s="753"/>
      <c r="UPJ1" s="753"/>
      <c r="UPK1" s="753"/>
      <c r="UPL1" s="753"/>
      <c r="UPM1" s="753"/>
      <c r="UPN1" s="753"/>
      <c r="UPO1" s="753"/>
      <c r="UPP1" s="753"/>
      <c r="UPQ1" s="753"/>
      <c r="UPR1" s="753"/>
      <c r="UPS1" s="753"/>
      <c r="UPT1" s="753"/>
      <c r="UPU1" s="753"/>
      <c r="UPV1" s="753"/>
      <c r="UPW1" s="753"/>
      <c r="UPX1" s="753"/>
      <c r="UPY1" s="753"/>
      <c r="UPZ1" s="753"/>
      <c r="UQA1" s="753"/>
      <c r="UQB1" s="753"/>
      <c r="UQC1" s="753"/>
      <c r="UQD1" s="753"/>
      <c r="UQE1" s="753"/>
      <c r="UQF1" s="753"/>
      <c r="UQG1" s="753"/>
      <c r="UQH1" s="753"/>
      <c r="UQI1" s="753"/>
      <c r="UQJ1" s="753"/>
      <c r="UQK1" s="753"/>
      <c r="UQL1" s="753"/>
      <c r="UQM1" s="753"/>
      <c r="UQN1" s="753"/>
      <c r="UQO1" s="753"/>
      <c r="UQP1" s="753"/>
      <c r="UQQ1" s="753"/>
      <c r="UQR1" s="753"/>
      <c r="UQS1" s="753"/>
      <c r="UQT1" s="753"/>
      <c r="UQU1" s="753"/>
      <c r="UQV1" s="753"/>
      <c r="UQW1" s="753"/>
      <c r="UQX1" s="753"/>
      <c r="UQY1" s="753"/>
      <c r="UQZ1" s="753"/>
      <c r="URA1" s="753"/>
      <c r="URB1" s="753"/>
      <c r="URC1" s="753"/>
      <c r="URD1" s="753"/>
      <c r="URE1" s="753"/>
      <c r="URF1" s="753"/>
      <c r="URG1" s="753"/>
      <c r="URH1" s="753"/>
      <c r="URI1" s="753"/>
      <c r="URJ1" s="753"/>
      <c r="URK1" s="753"/>
      <c r="URL1" s="753"/>
      <c r="URM1" s="753"/>
      <c r="URN1" s="753"/>
      <c r="URO1" s="753"/>
      <c r="URP1" s="753"/>
      <c r="URQ1" s="753"/>
      <c r="URR1" s="753"/>
      <c r="URS1" s="753"/>
      <c r="URT1" s="753"/>
      <c r="URU1" s="753"/>
      <c r="URV1" s="753"/>
      <c r="URW1" s="753"/>
      <c r="URX1" s="753"/>
      <c r="URY1" s="753"/>
      <c r="URZ1" s="753"/>
      <c r="USA1" s="753"/>
      <c r="USB1" s="753"/>
      <c r="USC1" s="753"/>
      <c r="USD1" s="753"/>
      <c r="USE1" s="753"/>
      <c r="USF1" s="753"/>
      <c r="USG1" s="753"/>
      <c r="USH1" s="753"/>
      <c r="USI1" s="753"/>
      <c r="USJ1" s="753"/>
      <c r="USK1" s="753"/>
      <c r="USL1" s="753"/>
      <c r="USM1" s="753"/>
      <c r="USN1" s="753"/>
      <c r="USO1" s="753"/>
      <c r="USP1" s="753"/>
      <c r="USQ1" s="753"/>
      <c r="USR1" s="753"/>
      <c r="USS1" s="753"/>
      <c r="UST1" s="753"/>
      <c r="USU1" s="753"/>
      <c r="USV1" s="753"/>
      <c r="USW1" s="753"/>
      <c r="USX1" s="753"/>
      <c r="USY1" s="753"/>
      <c r="USZ1" s="753"/>
      <c r="UTA1" s="753"/>
      <c r="UTB1" s="753"/>
      <c r="UTC1" s="753"/>
      <c r="UTD1" s="753"/>
      <c r="UTE1" s="753"/>
      <c r="UTF1" s="753"/>
      <c r="UTG1" s="753"/>
      <c r="UTH1" s="753"/>
      <c r="UTI1" s="753"/>
      <c r="UTJ1" s="753"/>
      <c r="UTK1" s="753"/>
      <c r="UTL1" s="753"/>
      <c r="UTM1" s="753"/>
      <c r="UTN1" s="753"/>
      <c r="UTO1" s="753"/>
      <c r="UTP1" s="753"/>
      <c r="UTQ1" s="753"/>
      <c r="UTR1" s="753"/>
      <c r="UTS1" s="753"/>
      <c r="UTT1" s="753"/>
      <c r="UTU1" s="753"/>
      <c r="UTV1" s="753"/>
      <c r="UTW1" s="753"/>
      <c r="UTX1" s="753"/>
      <c r="UTY1" s="753"/>
      <c r="UTZ1" s="753"/>
      <c r="UUA1" s="753"/>
      <c r="UUB1" s="753"/>
      <c r="UUC1" s="753"/>
      <c r="UUD1" s="753"/>
      <c r="UUE1" s="753"/>
      <c r="UUF1" s="753"/>
      <c r="UUG1" s="753"/>
      <c r="UUH1" s="753"/>
      <c r="UUI1" s="753"/>
      <c r="UUJ1" s="753"/>
      <c r="UUK1" s="753"/>
      <c r="UUL1" s="753"/>
      <c r="UUM1" s="753"/>
      <c r="UUN1" s="753"/>
      <c r="UUO1" s="753"/>
      <c r="UUP1" s="753"/>
      <c r="UUQ1" s="753"/>
      <c r="UUR1" s="753"/>
      <c r="UUS1" s="753"/>
      <c r="UUT1" s="753"/>
      <c r="UUU1" s="753"/>
      <c r="UUV1" s="753"/>
      <c r="UUW1" s="753"/>
      <c r="UUX1" s="753"/>
      <c r="UUY1" s="753"/>
      <c r="UUZ1" s="753"/>
      <c r="UVA1" s="753"/>
      <c r="UVB1" s="753"/>
      <c r="UVC1" s="753"/>
      <c r="UVD1" s="753"/>
      <c r="UVE1" s="753"/>
      <c r="UVF1" s="753"/>
      <c r="UVG1" s="753"/>
      <c r="UVH1" s="753"/>
      <c r="UVI1" s="753"/>
      <c r="UVJ1" s="753"/>
      <c r="UVK1" s="753"/>
      <c r="UVL1" s="753"/>
      <c r="UVM1" s="753"/>
      <c r="UVN1" s="753"/>
      <c r="UVO1" s="753"/>
      <c r="UVP1" s="753"/>
      <c r="UVQ1" s="753"/>
      <c r="UVR1" s="753"/>
      <c r="UVS1" s="753"/>
      <c r="UVT1" s="753"/>
      <c r="UVU1" s="753"/>
      <c r="UVV1" s="753"/>
      <c r="UVW1" s="753"/>
      <c r="UVX1" s="753"/>
      <c r="UVY1" s="753"/>
      <c r="UVZ1" s="753"/>
      <c r="UWA1" s="753"/>
      <c r="UWB1" s="753"/>
      <c r="UWC1" s="753"/>
      <c r="UWD1" s="753"/>
      <c r="UWE1" s="753"/>
      <c r="UWF1" s="753"/>
      <c r="UWG1" s="753"/>
      <c r="UWH1" s="753"/>
      <c r="UWI1" s="753"/>
      <c r="UWJ1" s="753"/>
      <c r="UWK1" s="753"/>
      <c r="UWL1" s="753"/>
      <c r="UWM1" s="753"/>
      <c r="UWN1" s="753"/>
      <c r="UWO1" s="753"/>
      <c r="UWP1" s="753"/>
      <c r="UWQ1" s="753"/>
      <c r="UWR1" s="753"/>
      <c r="UWS1" s="753"/>
      <c r="UWT1" s="753"/>
      <c r="UWU1" s="753"/>
      <c r="UWV1" s="753"/>
      <c r="UWW1" s="753"/>
      <c r="UWX1" s="753"/>
      <c r="UWY1" s="753"/>
      <c r="UWZ1" s="753"/>
      <c r="UXA1" s="753"/>
      <c r="UXB1" s="753"/>
      <c r="UXC1" s="753"/>
      <c r="UXD1" s="753"/>
      <c r="UXE1" s="753"/>
      <c r="UXF1" s="753"/>
      <c r="UXG1" s="753"/>
      <c r="UXH1" s="753"/>
      <c r="UXI1" s="753"/>
      <c r="UXJ1" s="753"/>
      <c r="UXK1" s="753"/>
      <c r="UXL1" s="753"/>
      <c r="UXM1" s="753"/>
      <c r="UXN1" s="753"/>
      <c r="UXO1" s="753"/>
      <c r="UXP1" s="753"/>
      <c r="UXQ1" s="753"/>
      <c r="UXR1" s="753"/>
      <c r="UXS1" s="753"/>
      <c r="UXT1" s="753"/>
      <c r="UXU1" s="753"/>
      <c r="UXV1" s="753"/>
      <c r="UXW1" s="753"/>
      <c r="UXX1" s="753"/>
      <c r="UXY1" s="753"/>
      <c r="UXZ1" s="753"/>
      <c r="UYA1" s="753"/>
      <c r="UYB1" s="753"/>
      <c r="UYC1" s="753"/>
      <c r="UYD1" s="753"/>
      <c r="UYE1" s="753"/>
      <c r="UYF1" s="753"/>
      <c r="UYG1" s="753"/>
      <c r="UYH1" s="753"/>
      <c r="UYI1" s="753"/>
      <c r="UYJ1" s="753"/>
      <c r="UYK1" s="753"/>
      <c r="UYL1" s="753"/>
      <c r="UYM1" s="753"/>
      <c r="UYN1" s="753"/>
      <c r="UYO1" s="753"/>
      <c r="UYP1" s="753"/>
      <c r="UYQ1" s="753"/>
      <c r="UYR1" s="753"/>
      <c r="UYS1" s="753"/>
      <c r="UYT1" s="753"/>
      <c r="UYU1" s="753"/>
      <c r="UYV1" s="753"/>
      <c r="UYW1" s="753"/>
      <c r="UYX1" s="753"/>
      <c r="UYY1" s="753"/>
      <c r="UYZ1" s="753"/>
      <c r="UZA1" s="753"/>
      <c r="UZB1" s="753"/>
      <c r="UZC1" s="753"/>
      <c r="UZD1" s="753"/>
      <c r="UZE1" s="753"/>
      <c r="UZF1" s="753"/>
      <c r="UZG1" s="753"/>
      <c r="UZH1" s="753"/>
      <c r="UZI1" s="753"/>
      <c r="UZJ1" s="753"/>
      <c r="UZK1" s="753"/>
      <c r="UZL1" s="753"/>
      <c r="UZM1" s="753"/>
      <c r="UZN1" s="753"/>
      <c r="UZO1" s="753"/>
      <c r="UZP1" s="753"/>
      <c r="UZQ1" s="753"/>
      <c r="UZR1" s="753"/>
      <c r="UZS1" s="753"/>
      <c r="UZT1" s="753"/>
      <c r="UZU1" s="753"/>
      <c r="UZV1" s="753"/>
      <c r="UZW1" s="753"/>
      <c r="UZX1" s="753"/>
      <c r="UZY1" s="753"/>
      <c r="UZZ1" s="753"/>
      <c r="VAA1" s="753"/>
      <c r="VAB1" s="753"/>
      <c r="VAC1" s="753"/>
      <c r="VAD1" s="753"/>
      <c r="VAE1" s="753"/>
      <c r="VAF1" s="753"/>
      <c r="VAG1" s="753"/>
      <c r="VAH1" s="753"/>
      <c r="VAI1" s="753"/>
      <c r="VAJ1" s="753"/>
      <c r="VAK1" s="753"/>
      <c r="VAL1" s="753"/>
      <c r="VAM1" s="753"/>
      <c r="VAN1" s="753"/>
      <c r="VAO1" s="753"/>
      <c r="VAP1" s="753"/>
      <c r="VAQ1" s="753"/>
      <c r="VAR1" s="753"/>
      <c r="VAS1" s="753"/>
      <c r="VAT1" s="753"/>
      <c r="VAU1" s="753"/>
      <c r="VAV1" s="753"/>
      <c r="VAW1" s="753"/>
      <c r="VAX1" s="753"/>
      <c r="VAY1" s="753"/>
      <c r="VAZ1" s="753"/>
      <c r="VBA1" s="753"/>
      <c r="VBB1" s="753"/>
      <c r="VBC1" s="753"/>
      <c r="VBD1" s="753"/>
      <c r="VBE1" s="753"/>
      <c r="VBF1" s="753"/>
      <c r="VBG1" s="753"/>
      <c r="VBH1" s="753"/>
      <c r="VBI1" s="753"/>
      <c r="VBJ1" s="753"/>
      <c r="VBK1" s="753"/>
      <c r="VBL1" s="753"/>
      <c r="VBM1" s="753"/>
      <c r="VBN1" s="753"/>
      <c r="VBO1" s="753"/>
      <c r="VBP1" s="753"/>
      <c r="VBQ1" s="753"/>
      <c r="VBR1" s="753"/>
      <c r="VBS1" s="753"/>
      <c r="VBT1" s="753"/>
      <c r="VBU1" s="753"/>
      <c r="VBV1" s="753"/>
      <c r="VBW1" s="753"/>
      <c r="VBX1" s="753"/>
      <c r="VBY1" s="753"/>
      <c r="VBZ1" s="753"/>
      <c r="VCA1" s="753"/>
      <c r="VCB1" s="753"/>
      <c r="VCC1" s="753"/>
      <c r="VCD1" s="753"/>
      <c r="VCE1" s="753"/>
      <c r="VCF1" s="753"/>
      <c r="VCG1" s="753"/>
      <c r="VCH1" s="753"/>
      <c r="VCI1" s="753"/>
      <c r="VCJ1" s="753"/>
      <c r="VCK1" s="753"/>
      <c r="VCL1" s="753"/>
      <c r="VCM1" s="753"/>
      <c r="VCN1" s="753"/>
      <c r="VCO1" s="753"/>
      <c r="VCP1" s="753"/>
      <c r="VCQ1" s="753"/>
      <c r="VCR1" s="753"/>
      <c r="VCS1" s="753"/>
      <c r="VCT1" s="753"/>
      <c r="VCU1" s="753"/>
      <c r="VCV1" s="753"/>
      <c r="VCW1" s="753"/>
      <c r="VCX1" s="753"/>
      <c r="VCY1" s="753"/>
      <c r="VCZ1" s="753"/>
      <c r="VDA1" s="753"/>
      <c r="VDB1" s="753"/>
      <c r="VDC1" s="753"/>
      <c r="VDD1" s="753"/>
      <c r="VDE1" s="753"/>
      <c r="VDF1" s="753"/>
      <c r="VDG1" s="753"/>
      <c r="VDH1" s="753"/>
      <c r="VDI1" s="753"/>
      <c r="VDJ1" s="753"/>
      <c r="VDK1" s="753"/>
      <c r="VDL1" s="753"/>
      <c r="VDM1" s="753"/>
      <c r="VDN1" s="753"/>
      <c r="VDO1" s="753"/>
      <c r="VDP1" s="753"/>
      <c r="VDQ1" s="753"/>
      <c r="VDR1" s="753"/>
      <c r="VDS1" s="753"/>
      <c r="VDT1" s="753"/>
      <c r="VDU1" s="753"/>
      <c r="VDV1" s="753"/>
      <c r="VDW1" s="753"/>
      <c r="VDX1" s="753"/>
      <c r="VDY1" s="753"/>
      <c r="VDZ1" s="753"/>
      <c r="VEA1" s="753"/>
      <c r="VEB1" s="753"/>
      <c r="VEC1" s="753"/>
      <c r="VED1" s="753"/>
      <c r="VEE1" s="753"/>
      <c r="VEF1" s="753"/>
      <c r="VEG1" s="753"/>
      <c r="VEH1" s="753"/>
      <c r="VEI1" s="753"/>
      <c r="VEJ1" s="753"/>
      <c r="VEK1" s="753"/>
      <c r="VEL1" s="753"/>
      <c r="VEM1" s="753"/>
      <c r="VEN1" s="753"/>
      <c r="VEO1" s="753"/>
      <c r="VEP1" s="753"/>
      <c r="VEQ1" s="753"/>
      <c r="VER1" s="753"/>
      <c r="VES1" s="753"/>
      <c r="VET1" s="753"/>
      <c r="VEU1" s="753"/>
      <c r="VEV1" s="753"/>
      <c r="VEW1" s="753"/>
      <c r="VEX1" s="753"/>
      <c r="VEY1" s="753"/>
      <c r="VEZ1" s="753"/>
      <c r="VFA1" s="753"/>
      <c r="VFB1" s="753"/>
      <c r="VFC1" s="753"/>
      <c r="VFD1" s="753"/>
      <c r="VFE1" s="753"/>
      <c r="VFF1" s="753"/>
      <c r="VFG1" s="753"/>
      <c r="VFH1" s="753"/>
      <c r="VFI1" s="753"/>
      <c r="VFJ1" s="753"/>
      <c r="VFK1" s="753"/>
      <c r="VFL1" s="753"/>
      <c r="VFM1" s="753"/>
      <c r="VFN1" s="753"/>
      <c r="VFO1" s="753"/>
      <c r="VFP1" s="753"/>
      <c r="VFQ1" s="753"/>
      <c r="VFR1" s="753"/>
      <c r="VFS1" s="753"/>
      <c r="VFT1" s="753"/>
      <c r="VFU1" s="753"/>
      <c r="VFV1" s="753"/>
      <c r="VFW1" s="753"/>
      <c r="VFX1" s="753"/>
      <c r="VFY1" s="753"/>
      <c r="VFZ1" s="753"/>
      <c r="VGA1" s="753"/>
      <c r="VGB1" s="753"/>
      <c r="VGC1" s="753"/>
      <c r="VGD1" s="753"/>
      <c r="VGE1" s="753"/>
      <c r="VGF1" s="753"/>
      <c r="VGG1" s="753"/>
      <c r="VGH1" s="753"/>
      <c r="VGI1" s="753"/>
      <c r="VGJ1" s="753"/>
      <c r="VGK1" s="753"/>
      <c r="VGL1" s="753"/>
      <c r="VGM1" s="753"/>
      <c r="VGN1" s="753"/>
      <c r="VGO1" s="753"/>
      <c r="VGP1" s="753"/>
      <c r="VGQ1" s="753"/>
      <c r="VGR1" s="753"/>
      <c r="VGS1" s="753"/>
      <c r="VGT1" s="753"/>
      <c r="VGU1" s="753"/>
      <c r="VGV1" s="753"/>
      <c r="VGW1" s="753"/>
      <c r="VGX1" s="753"/>
      <c r="VGY1" s="753"/>
      <c r="VGZ1" s="753"/>
      <c r="VHA1" s="753"/>
      <c r="VHB1" s="753"/>
      <c r="VHC1" s="753"/>
      <c r="VHD1" s="753"/>
      <c r="VHE1" s="753"/>
      <c r="VHF1" s="753"/>
      <c r="VHG1" s="753"/>
      <c r="VHH1" s="753"/>
      <c r="VHI1" s="753"/>
      <c r="VHJ1" s="753"/>
      <c r="VHK1" s="753"/>
      <c r="VHL1" s="753"/>
      <c r="VHM1" s="753"/>
      <c r="VHN1" s="753"/>
      <c r="VHO1" s="753"/>
      <c r="VHP1" s="753"/>
      <c r="VHQ1" s="753"/>
      <c r="VHR1" s="753"/>
      <c r="VHS1" s="753"/>
      <c r="VHT1" s="753"/>
      <c r="VHU1" s="753"/>
      <c r="VHV1" s="753"/>
      <c r="VHW1" s="753"/>
      <c r="VHX1" s="753"/>
      <c r="VHY1" s="753"/>
      <c r="VHZ1" s="753"/>
      <c r="VIA1" s="753"/>
      <c r="VIB1" s="753"/>
      <c r="VIC1" s="753"/>
      <c r="VID1" s="753"/>
      <c r="VIE1" s="753"/>
      <c r="VIF1" s="753"/>
      <c r="VIG1" s="753"/>
      <c r="VIH1" s="753"/>
      <c r="VII1" s="753"/>
      <c r="VIJ1" s="753"/>
      <c r="VIK1" s="753"/>
      <c r="VIL1" s="753"/>
      <c r="VIM1" s="753"/>
      <c r="VIN1" s="753"/>
      <c r="VIO1" s="753"/>
      <c r="VIP1" s="753"/>
      <c r="VIQ1" s="753"/>
      <c r="VIR1" s="753"/>
      <c r="VIS1" s="753"/>
      <c r="VIT1" s="753"/>
      <c r="VIU1" s="753"/>
      <c r="VIV1" s="753"/>
      <c r="VIW1" s="753"/>
      <c r="VIX1" s="753"/>
      <c r="VIY1" s="753"/>
      <c r="VIZ1" s="753"/>
      <c r="VJA1" s="753"/>
      <c r="VJB1" s="753"/>
      <c r="VJC1" s="753"/>
      <c r="VJD1" s="753"/>
      <c r="VJE1" s="753"/>
      <c r="VJF1" s="753"/>
      <c r="VJG1" s="753"/>
      <c r="VJH1" s="753"/>
      <c r="VJI1" s="753"/>
      <c r="VJJ1" s="753"/>
      <c r="VJK1" s="753"/>
      <c r="VJL1" s="753"/>
      <c r="VJM1" s="753"/>
      <c r="VJN1" s="753"/>
      <c r="VJO1" s="753"/>
      <c r="VJP1" s="753"/>
      <c r="VJQ1" s="753"/>
      <c r="VJR1" s="753"/>
      <c r="VJS1" s="753"/>
      <c r="VJT1" s="753"/>
      <c r="VJU1" s="753"/>
      <c r="VJV1" s="753"/>
      <c r="VJW1" s="753"/>
      <c r="VJX1" s="753"/>
      <c r="VJY1" s="753"/>
      <c r="VJZ1" s="753"/>
      <c r="VKA1" s="753"/>
      <c r="VKB1" s="753"/>
      <c r="VKC1" s="753"/>
      <c r="VKD1" s="753"/>
      <c r="VKE1" s="753"/>
      <c r="VKF1" s="753"/>
      <c r="VKG1" s="753"/>
      <c r="VKH1" s="753"/>
      <c r="VKI1" s="753"/>
      <c r="VKJ1" s="753"/>
      <c r="VKK1" s="753"/>
      <c r="VKL1" s="753"/>
      <c r="VKM1" s="753"/>
      <c r="VKN1" s="753"/>
      <c r="VKO1" s="753"/>
      <c r="VKP1" s="753"/>
      <c r="VKQ1" s="753"/>
      <c r="VKR1" s="753"/>
      <c r="VKS1" s="753"/>
      <c r="VKT1" s="753"/>
      <c r="VKU1" s="753"/>
      <c r="VKV1" s="753"/>
      <c r="VKW1" s="753"/>
      <c r="VKX1" s="753"/>
      <c r="VKY1" s="753"/>
      <c r="VKZ1" s="753"/>
      <c r="VLA1" s="753"/>
      <c r="VLB1" s="753"/>
      <c r="VLC1" s="753"/>
      <c r="VLD1" s="753"/>
      <c r="VLE1" s="753"/>
      <c r="VLF1" s="753"/>
      <c r="VLG1" s="753"/>
      <c r="VLH1" s="753"/>
      <c r="VLI1" s="753"/>
      <c r="VLJ1" s="753"/>
      <c r="VLK1" s="753"/>
      <c r="VLL1" s="753"/>
      <c r="VLM1" s="753"/>
      <c r="VLN1" s="753"/>
      <c r="VLO1" s="753"/>
      <c r="VLP1" s="753"/>
      <c r="VLQ1" s="753"/>
      <c r="VLR1" s="753"/>
      <c r="VLS1" s="753"/>
      <c r="VLT1" s="753"/>
      <c r="VLU1" s="753"/>
      <c r="VLV1" s="753"/>
      <c r="VLW1" s="753"/>
      <c r="VLX1" s="753"/>
      <c r="VLY1" s="753"/>
      <c r="VLZ1" s="753"/>
      <c r="VMA1" s="753"/>
      <c r="VMB1" s="753"/>
      <c r="VMC1" s="753"/>
      <c r="VMD1" s="753"/>
      <c r="VME1" s="753"/>
      <c r="VMF1" s="753"/>
      <c r="VMG1" s="753"/>
      <c r="VMH1" s="753"/>
      <c r="VMI1" s="753"/>
      <c r="VMJ1" s="753"/>
      <c r="VMK1" s="753"/>
      <c r="VML1" s="753"/>
      <c r="VMM1" s="753"/>
      <c r="VMN1" s="753"/>
      <c r="VMO1" s="753"/>
      <c r="VMP1" s="753"/>
      <c r="VMQ1" s="753"/>
      <c r="VMR1" s="753"/>
      <c r="VMS1" s="753"/>
      <c r="VMT1" s="753"/>
      <c r="VMU1" s="753"/>
      <c r="VMV1" s="753"/>
      <c r="VMW1" s="753"/>
      <c r="VMX1" s="753"/>
      <c r="VMY1" s="753"/>
      <c r="VMZ1" s="753"/>
      <c r="VNA1" s="753"/>
      <c r="VNB1" s="753"/>
      <c r="VNC1" s="753"/>
      <c r="VND1" s="753"/>
      <c r="VNE1" s="753"/>
      <c r="VNF1" s="753"/>
      <c r="VNG1" s="753"/>
      <c r="VNH1" s="753"/>
      <c r="VNI1" s="753"/>
      <c r="VNJ1" s="753"/>
      <c r="VNK1" s="753"/>
      <c r="VNL1" s="753"/>
      <c r="VNM1" s="753"/>
      <c r="VNN1" s="753"/>
      <c r="VNO1" s="753"/>
      <c r="VNP1" s="753"/>
      <c r="VNQ1" s="753"/>
      <c r="VNR1" s="753"/>
      <c r="VNS1" s="753"/>
      <c r="VNT1" s="753"/>
      <c r="VNU1" s="753"/>
      <c r="VNV1" s="753"/>
      <c r="VNW1" s="753"/>
      <c r="VNX1" s="753"/>
      <c r="VNY1" s="753"/>
      <c r="VNZ1" s="753"/>
      <c r="VOA1" s="753"/>
      <c r="VOB1" s="753"/>
      <c r="VOC1" s="753"/>
      <c r="VOD1" s="753"/>
      <c r="VOE1" s="753"/>
      <c r="VOF1" s="753"/>
      <c r="VOG1" s="753"/>
      <c r="VOH1" s="753"/>
      <c r="VOI1" s="753"/>
      <c r="VOJ1" s="753"/>
      <c r="VOK1" s="753"/>
      <c r="VOL1" s="753"/>
      <c r="VOM1" s="753"/>
      <c r="VON1" s="753"/>
      <c r="VOO1" s="753"/>
      <c r="VOP1" s="753"/>
      <c r="VOQ1" s="753"/>
      <c r="VOR1" s="753"/>
      <c r="VOS1" s="753"/>
      <c r="VOT1" s="753"/>
      <c r="VOU1" s="753"/>
      <c r="VOV1" s="753"/>
      <c r="VOW1" s="753"/>
      <c r="VOX1" s="753"/>
      <c r="VOY1" s="753"/>
      <c r="VOZ1" s="753"/>
      <c r="VPA1" s="753"/>
      <c r="VPB1" s="753"/>
      <c r="VPC1" s="753"/>
      <c r="VPD1" s="753"/>
      <c r="VPE1" s="753"/>
      <c r="VPF1" s="753"/>
      <c r="VPG1" s="753"/>
      <c r="VPH1" s="753"/>
      <c r="VPI1" s="753"/>
      <c r="VPJ1" s="753"/>
      <c r="VPK1" s="753"/>
      <c r="VPL1" s="753"/>
      <c r="VPM1" s="753"/>
      <c r="VPN1" s="753"/>
      <c r="VPO1" s="753"/>
      <c r="VPP1" s="753"/>
      <c r="VPQ1" s="753"/>
      <c r="VPR1" s="753"/>
      <c r="VPS1" s="753"/>
      <c r="VPT1" s="753"/>
      <c r="VPU1" s="753"/>
      <c r="VPV1" s="753"/>
      <c r="VPW1" s="753"/>
      <c r="VPX1" s="753"/>
      <c r="VPY1" s="753"/>
      <c r="VPZ1" s="753"/>
      <c r="VQA1" s="753"/>
      <c r="VQB1" s="753"/>
      <c r="VQC1" s="753"/>
      <c r="VQD1" s="753"/>
      <c r="VQE1" s="753"/>
      <c r="VQF1" s="753"/>
      <c r="VQG1" s="753"/>
      <c r="VQH1" s="753"/>
      <c r="VQI1" s="753"/>
      <c r="VQJ1" s="753"/>
      <c r="VQK1" s="753"/>
      <c r="VQL1" s="753"/>
      <c r="VQM1" s="753"/>
      <c r="VQN1" s="753"/>
      <c r="VQO1" s="753"/>
      <c r="VQP1" s="753"/>
      <c r="VQQ1" s="753"/>
      <c r="VQR1" s="753"/>
      <c r="VQS1" s="753"/>
      <c r="VQT1" s="753"/>
      <c r="VQU1" s="753"/>
      <c r="VQV1" s="753"/>
      <c r="VQW1" s="753"/>
      <c r="VQX1" s="753"/>
      <c r="VQY1" s="753"/>
      <c r="VQZ1" s="753"/>
      <c r="VRA1" s="753"/>
      <c r="VRB1" s="753"/>
      <c r="VRC1" s="753"/>
      <c r="VRD1" s="753"/>
      <c r="VRE1" s="753"/>
      <c r="VRF1" s="753"/>
      <c r="VRG1" s="753"/>
      <c r="VRH1" s="753"/>
      <c r="VRI1" s="753"/>
      <c r="VRJ1" s="753"/>
      <c r="VRK1" s="753"/>
      <c r="VRL1" s="753"/>
      <c r="VRM1" s="753"/>
      <c r="VRN1" s="753"/>
      <c r="VRO1" s="753"/>
      <c r="VRP1" s="753"/>
      <c r="VRQ1" s="753"/>
      <c r="VRR1" s="753"/>
      <c r="VRS1" s="753"/>
      <c r="VRT1" s="753"/>
      <c r="VRU1" s="753"/>
      <c r="VRV1" s="753"/>
      <c r="VRW1" s="753"/>
      <c r="VRX1" s="753"/>
      <c r="VRY1" s="753"/>
      <c r="VRZ1" s="753"/>
      <c r="VSA1" s="753"/>
      <c r="VSB1" s="753"/>
      <c r="VSC1" s="753"/>
      <c r="VSD1" s="753"/>
      <c r="VSE1" s="753"/>
      <c r="VSF1" s="753"/>
      <c r="VSG1" s="753"/>
      <c r="VSH1" s="753"/>
      <c r="VSI1" s="753"/>
      <c r="VSJ1" s="753"/>
      <c r="VSK1" s="753"/>
      <c r="VSL1" s="753"/>
      <c r="VSM1" s="753"/>
      <c r="VSN1" s="753"/>
      <c r="VSO1" s="753"/>
      <c r="VSP1" s="753"/>
      <c r="VSQ1" s="753"/>
      <c r="VSR1" s="753"/>
      <c r="VSS1" s="753"/>
      <c r="VST1" s="753"/>
      <c r="VSU1" s="753"/>
      <c r="VSV1" s="753"/>
      <c r="VSW1" s="753"/>
      <c r="VSX1" s="753"/>
      <c r="VSY1" s="753"/>
      <c r="VSZ1" s="753"/>
      <c r="VTA1" s="753"/>
      <c r="VTB1" s="753"/>
      <c r="VTC1" s="753"/>
      <c r="VTD1" s="753"/>
      <c r="VTE1" s="753"/>
      <c r="VTF1" s="753"/>
      <c r="VTG1" s="753"/>
      <c r="VTH1" s="753"/>
      <c r="VTI1" s="753"/>
      <c r="VTJ1" s="753"/>
      <c r="VTK1" s="753"/>
      <c r="VTL1" s="753"/>
      <c r="VTM1" s="753"/>
      <c r="VTN1" s="753"/>
      <c r="VTO1" s="753"/>
      <c r="VTP1" s="753"/>
      <c r="VTQ1" s="753"/>
      <c r="VTR1" s="753"/>
      <c r="VTS1" s="753"/>
      <c r="VTT1" s="753"/>
      <c r="VTU1" s="753"/>
      <c r="VTV1" s="753"/>
      <c r="VTW1" s="753"/>
      <c r="VTX1" s="753"/>
      <c r="VTY1" s="753"/>
      <c r="VTZ1" s="753"/>
      <c r="VUA1" s="753"/>
      <c r="VUB1" s="753"/>
      <c r="VUC1" s="753"/>
      <c r="VUD1" s="753"/>
      <c r="VUE1" s="753"/>
      <c r="VUF1" s="753"/>
      <c r="VUG1" s="753"/>
      <c r="VUH1" s="753"/>
      <c r="VUI1" s="753"/>
      <c r="VUJ1" s="753"/>
      <c r="VUK1" s="753"/>
      <c r="VUL1" s="753"/>
      <c r="VUM1" s="753"/>
      <c r="VUN1" s="753"/>
      <c r="VUO1" s="753"/>
      <c r="VUP1" s="753"/>
      <c r="VUQ1" s="753"/>
      <c r="VUR1" s="753"/>
      <c r="VUS1" s="753"/>
      <c r="VUT1" s="753"/>
      <c r="VUU1" s="753"/>
      <c r="VUV1" s="753"/>
      <c r="VUW1" s="753"/>
      <c r="VUX1" s="753"/>
      <c r="VUY1" s="753"/>
      <c r="VUZ1" s="753"/>
      <c r="VVA1" s="753"/>
      <c r="VVB1" s="753"/>
      <c r="VVC1" s="753"/>
      <c r="VVD1" s="753"/>
      <c r="VVE1" s="753"/>
      <c r="VVF1" s="753"/>
      <c r="VVG1" s="753"/>
      <c r="VVH1" s="753"/>
      <c r="VVI1" s="753"/>
      <c r="VVJ1" s="753"/>
      <c r="VVK1" s="753"/>
      <c r="VVL1" s="753"/>
      <c r="VVM1" s="753"/>
      <c r="VVN1" s="753"/>
      <c r="VVO1" s="753"/>
      <c r="VVP1" s="753"/>
      <c r="VVQ1" s="753"/>
      <c r="VVR1" s="753"/>
      <c r="VVS1" s="753"/>
      <c r="VVT1" s="753"/>
      <c r="VVU1" s="753"/>
      <c r="VVV1" s="753"/>
      <c r="VVW1" s="753"/>
      <c r="VVX1" s="753"/>
      <c r="VVY1" s="753"/>
      <c r="VVZ1" s="753"/>
      <c r="VWA1" s="753"/>
      <c r="VWB1" s="753"/>
      <c r="VWC1" s="753"/>
      <c r="VWD1" s="753"/>
      <c r="VWE1" s="753"/>
      <c r="VWF1" s="753"/>
      <c r="VWG1" s="753"/>
      <c r="VWH1" s="753"/>
      <c r="VWI1" s="753"/>
      <c r="VWJ1" s="753"/>
      <c r="VWK1" s="753"/>
      <c r="VWL1" s="753"/>
      <c r="VWM1" s="753"/>
      <c r="VWN1" s="753"/>
      <c r="VWO1" s="753"/>
      <c r="VWP1" s="753"/>
      <c r="VWQ1" s="753"/>
      <c r="VWR1" s="753"/>
      <c r="VWS1" s="753"/>
      <c r="VWT1" s="753"/>
      <c r="VWU1" s="753"/>
      <c r="VWV1" s="753"/>
      <c r="VWW1" s="753"/>
      <c r="VWX1" s="753"/>
      <c r="VWY1" s="753"/>
      <c r="VWZ1" s="753"/>
      <c r="VXA1" s="753"/>
      <c r="VXB1" s="753"/>
      <c r="VXC1" s="753"/>
      <c r="VXD1" s="753"/>
      <c r="VXE1" s="753"/>
      <c r="VXF1" s="753"/>
      <c r="VXG1" s="753"/>
      <c r="VXH1" s="753"/>
      <c r="VXI1" s="753"/>
      <c r="VXJ1" s="753"/>
      <c r="VXK1" s="753"/>
      <c r="VXL1" s="753"/>
      <c r="VXM1" s="753"/>
      <c r="VXN1" s="753"/>
      <c r="VXO1" s="753"/>
      <c r="VXP1" s="753"/>
      <c r="VXQ1" s="753"/>
      <c r="VXR1" s="753"/>
      <c r="VXS1" s="753"/>
      <c r="VXT1" s="753"/>
      <c r="VXU1" s="753"/>
      <c r="VXV1" s="753"/>
      <c r="VXW1" s="753"/>
      <c r="VXX1" s="753"/>
      <c r="VXY1" s="753"/>
      <c r="VXZ1" s="753"/>
      <c r="VYA1" s="753"/>
      <c r="VYB1" s="753"/>
      <c r="VYC1" s="753"/>
      <c r="VYD1" s="753"/>
      <c r="VYE1" s="753"/>
      <c r="VYF1" s="753"/>
      <c r="VYG1" s="753"/>
      <c r="VYH1" s="753"/>
      <c r="VYI1" s="753"/>
      <c r="VYJ1" s="753"/>
      <c r="VYK1" s="753"/>
      <c r="VYL1" s="753"/>
      <c r="VYM1" s="753"/>
      <c r="VYN1" s="753"/>
      <c r="VYO1" s="753"/>
      <c r="VYP1" s="753"/>
      <c r="VYQ1" s="753"/>
      <c r="VYR1" s="753"/>
      <c r="VYS1" s="753"/>
      <c r="VYT1" s="753"/>
      <c r="VYU1" s="753"/>
      <c r="VYV1" s="753"/>
      <c r="VYW1" s="753"/>
      <c r="VYX1" s="753"/>
      <c r="VYY1" s="753"/>
      <c r="VYZ1" s="753"/>
      <c r="VZA1" s="753"/>
      <c r="VZB1" s="753"/>
      <c r="VZC1" s="753"/>
      <c r="VZD1" s="753"/>
      <c r="VZE1" s="753"/>
      <c r="VZF1" s="753"/>
      <c r="VZG1" s="753"/>
      <c r="VZH1" s="753"/>
      <c r="VZI1" s="753"/>
      <c r="VZJ1" s="753"/>
      <c r="VZK1" s="753"/>
      <c r="VZL1" s="753"/>
      <c r="VZM1" s="753"/>
      <c r="VZN1" s="753"/>
      <c r="VZO1" s="753"/>
      <c r="VZP1" s="753"/>
      <c r="VZQ1" s="753"/>
      <c r="VZR1" s="753"/>
      <c r="VZS1" s="753"/>
      <c r="VZT1" s="753"/>
      <c r="VZU1" s="753"/>
      <c r="VZV1" s="753"/>
      <c r="VZW1" s="753"/>
      <c r="VZX1" s="753"/>
      <c r="VZY1" s="753"/>
      <c r="VZZ1" s="753"/>
      <c r="WAA1" s="753"/>
      <c r="WAB1" s="753"/>
      <c r="WAC1" s="753"/>
      <c r="WAD1" s="753"/>
      <c r="WAE1" s="753"/>
      <c r="WAF1" s="753"/>
      <c r="WAG1" s="753"/>
      <c r="WAH1" s="753"/>
      <c r="WAI1" s="753"/>
      <c r="WAJ1" s="753"/>
      <c r="WAK1" s="753"/>
      <c r="WAL1" s="753"/>
      <c r="WAM1" s="753"/>
      <c r="WAN1" s="753"/>
      <c r="WAO1" s="753"/>
      <c r="WAP1" s="753"/>
      <c r="WAQ1" s="753"/>
      <c r="WAR1" s="753"/>
      <c r="WAS1" s="753"/>
      <c r="WAT1" s="753"/>
      <c r="WAU1" s="753"/>
      <c r="WAV1" s="753"/>
      <c r="WAW1" s="753"/>
      <c r="WAX1" s="753"/>
      <c r="WAY1" s="753"/>
      <c r="WAZ1" s="753"/>
      <c r="WBA1" s="753"/>
      <c r="WBB1" s="753"/>
      <c r="WBC1" s="753"/>
      <c r="WBD1" s="753"/>
      <c r="WBE1" s="753"/>
      <c r="WBF1" s="753"/>
      <c r="WBG1" s="753"/>
      <c r="WBH1" s="753"/>
      <c r="WBI1" s="753"/>
      <c r="WBJ1" s="753"/>
      <c r="WBK1" s="753"/>
      <c r="WBL1" s="753"/>
      <c r="WBM1" s="753"/>
      <c r="WBN1" s="753"/>
      <c r="WBO1" s="753"/>
      <c r="WBP1" s="753"/>
      <c r="WBQ1" s="753"/>
      <c r="WBR1" s="753"/>
      <c r="WBS1" s="753"/>
      <c r="WBT1" s="753"/>
      <c r="WBU1" s="753"/>
      <c r="WBV1" s="753"/>
      <c r="WBW1" s="753"/>
      <c r="WBX1" s="753"/>
      <c r="WBY1" s="753"/>
      <c r="WBZ1" s="753"/>
      <c r="WCA1" s="753"/>
      <c r="WCB1" s="753"/>
      <c r="WCC1" s="753"/>
      <c r="WCD1" s="753"/>
      <c r="WCE1" s="753"/>
      <c r="WCF1" s="753"/>
      <c r="WCG1" s="753"/>
      <c r="WCH1" s="753"/>
      <c r="WCI1" s="753"/>
      <c r="WCJ1" s="753"/>
      <c r="WCK1" s="753"/>
      <c r="WCL1" s="753"/>
      <c r="WCM1" s="753"/>
      <c r="WCN1" s="753"/>
      <c r="WCO1" s="753"/>
      <c r="WCP1" s="753"/>
      <c r="WCQ1" s="753"/>
      <c r="WCR1" s="753"/>
      <c r="WCS1" s="753"/>
      <c r="WCT1" s="753"/>
      <c r="WCU1" s="753"/>
      <c r="WCV1" s="753"/>
      <c r="WCW1" s="753"/>
      <c r="WCX1" s="753"/>
      <c r="WCY1" s="753"/>
      <c r="WCZ1" s="753"/>
      <c r="WDA1" s="753"/>
      <c r="WDB1" s="753"/>
      <c r="WDC1" s="753"/>
      <c r="WDD1" s="753"/>
      <c r="WDE1" s="753"/>
      <c r="WDF1" s="753"/>
      <c r="WDG1" s="753"/>
      <c r="WDH1" s="753"/>
      <c r="WDI1" s="753"/>
      <c r="WDJ1" s="753"/>
      <c r="WDK1" s="753"/>
      <c r="WDL1" s="753"/>
      <c r="WDM1" s="753"/>
      <c r="WDN1" s="753"/>
      <c r="WDO1" s="753"/>
      <c r="WDP1" s="753"/>
      <c r="WDQ1" s="753"/>
      <c r="WDR1" s="753"/>
      <c r="WDS1" s="753"/>
      <c r="WDT1" s="753"/>
      <c r="WDU1" s="753"/>
      <c r="WDV1" s="753"/>
      <c r="WDW1" s="753"/>
      <c r="WDX1" s="753"/>
      <c r="WDY1" s="753"/>
      <c r="WDZ1" s="753"/>
      <c r="WEA1" s="753"/>
      <c r="WEB1" s="753"/>
      <c r="WEC1" s="753"/>
      <c r="WED1" s="753"/>
      <c r="WEE1" s="753"/>
      <c r="WEF1" s="753"/>
      <c r="WEG1" s="753"/>
      <c r="WEH1" s="753"/>
      <c r="WEI1" s="753"/>
      <c r="WEJ1" s="753"/>
      <c r="WEK1" s="753"/>
      <c r="WEL1" s="753"/>
      <c r="WEM1" s="753"/>
      <c r="WEN1" s="753"/>
      <c r="WEO1" s="753"/>
      <c r="WEP1" s="753"/>
      <c r="WEQ1" s="753"/>
      <c r="WER1" s="753"/>
      <c r="WES1" s="753"/>
      <c r="WET1" s="753"/>
      <c r="WEU1" s="753"/>
      <c r="WEV1" s="753"/>
      <c r="WEW1" s="753"/>
      <c r="WEX1" s="753"/>
      <c r="WEY1" s="753"/>
      <c r="WEZ1" s="753"/>
      <c r="WFA1" s="753"/>
      <c r="WFB1" s="753"/>
      <c r="WFC1" s="753"/>
      <c r="WFD1" s="753"/>
      <c r="WFE1" s="753"/>
      <c r="WFF1" s="753"/>
      <c r="WFG1" s="753"/>
      <c r="WFH1" s="753"/>
      <c r="WFI1" s="753"/>
      <c r="WFJ1" s="753"/>
      <c r="WFK1" s="753"/>
      <c r="WFL1" s="753"/>
      <c r="WFM1" s="753"/>
      <c r="WFN1" s="753"/>
      <c r="WFO1" s="753"/>
      <c r="WFP1" s="753"/>
      <c r="WFQ1" s="753"/>
      <c r="WFR1" s="753"/>
      <c r="WFS1" s="753"/>
      <c r="WFT1" s="753"/>
      <c r="WFU1" s="753"/>
      <c r="WFV1" s="753"/>
      <c r="WFW1" s="753"/>
      <c r="WFX1" s="753"/>
      <c r="WFY1" s="753"/>
      <c r="WFZ1" s="753"/>
      <c r="WGA1" s="753"/>
      <c r="WGB1" s="753"/>
      <c r="WGC1" s="753"/>
      <c r="WGD1" s="753"/>
      <c r="WGE1" s="753"/>
      <c r="WGF1" s="753"/>
      <c r="WGG1" s="753"/>
      <c r="WGH1" s="753"/>
      <c r="WGI1" s="753"/>
      <c r="WGJ1" s="753"/>
      <c r="WGK1" s="753"/>
      <c r="WGL1" s="753"/>
      <c r="WGM1" s="753"/>
      <c r="WGN1" s="753"/>
      <c r="WGO1" s="753"/>
      <c r="WGP1" s="753"/>
      <c r="WGQ1" s="753"/>
      <c r="WGR1" s="753"/>
      <c r="WGS1" s="753"/>
      <c r="WGT1" s="753"/>
      <c r="WGU1" s="753"/>
      <c r="WGV1" s="753"/>
      <c r="WGW1" s="753"/>
      <c r="WGX1" s="753"/>
      <c r="WGY1" s="753"/>
      <c r="WGZ1" s="753"/>
      <c r="WHA1" s="753"/>
      <c r="WHB1" s="753"/>
      <c r="WHC1" s="753"/>
      <c r="WHD1" s="753"/>
      <c r="WHE1" s="753"/>
      <c r="WHF1" s="753"/>
      <c r="WHG1" s="753"/>
      <c r="WHH1" s="753"/>
      <c r="WHI1" s="753"/>
      <c r="WHJ1" s="753"/>
      <c r="WHK1" s="753"/>
      <c r="WHL1" s="753"/>
      <c r="WHM1" s="753"/>
      <c r="WHN1" s="753"/>
      <c r="WHO1" s="753"/>
      <c r="WHP1" s="753"/>
      <c r="WHQ1" s="753"/>
      <c r="WHR1" s="753"/>
      <c r="WHS1" s="753"/>
      <c r="WHT1" s="753"/>
      <c r="WHU1" s="753"/>
      <c r="WHV1" s="753"/>
      <c r="WHW1" s="753"/>
      <c r="WHX1" s="753"/>
      <c r="WHY1" s="753"/>
      <c r="WHZ1" s="753"/>
      <c r="WIA1" s="753"/>
      <c r="WIB1" s="753"/>
      <c r="WIC1" s="753"/>
      <c r="WID1" s="753"/>
      <c r="WIE1" s="753"/>
      <c r="WIF1" s="753"/>
      <c r="WIG1" s="753"/>
      <c r="WIH1" s="753"/>
      <c r="WII1" s="753"/>
      <c r="WIJ1" s="753"/>
      <c r="WIK1" s="753"/>
      <c r="WIL1" s="753"/>
      <c r="WIM1" s="753"/>
      <c r="WIN1" s="753"/>
      <c r="WIO1" s="753"/>
      <c r="WIP1" s="753"/>
      <c r="WIQ1" s="753"/>
      <c r="WIR1" s="753"/>
      <c r="WIS1" s="753"/>
      <c r="WIT1" s="753"/>
      <c r="WIU1" s="753"/>
      <c r="WIV1" s="753"/>
      <c r="WIW1" s="753"/>
      <c r="WIX1" s="753"/>
      <c r="WIY1" s="753"/>
      <c r="WIZ1" s="753"/>
      <c r="WJA1" s="753"/>
      <c r="WJB1" s="753"/>
      <c r="WJC1" s="753"/>
      <c r="WJD1" s="753"/>
      <c r="WJE1" s="753"/>
      <c r="WJF1" s="753"/>
      <c r="WJG1" s="753"/>
      <c r="WJH1" s="753"/>
      <c r="WJI1" s="753"/>
      <c r="WJJ1" s="753"/>
      <c r="WJK1" s="753"/>
      <c r="WJL1" s="753"/>
      <c r="WJM1" s="753"/>
      <c r="WJN1" s="753"/>
      <c r="WJO1" s="753"/>
      <c r="WJP1" s="753"/>
      <c r="WJQ1" s="753"/>
      <c r="WJR1" s="753"/>
      <c r="WJS1" s="753"/>
      <c r="WJT1" s="753"/>
      <c r="WJU1" s="753"/>
      <c r="WJV1" s="753"/>
      <c r="WJW1" s="753"/>
      <c r="WJX1" s="753"/>
      <c r="WJY1" s="753"/>
      <c r="WJZ1" s="753"/>
      <c r="WKA1" s="753"/>
      <c r="WKB1" s="753"/>
      <c r="WKC1" s="753"/>
      <c r="WKD1" s="753"/>
      <c r="WKE1" s="753"/>
      <c r="WKF1" s="753"/>
      <c r="WKG1" s="753"/>
      <c r="WKH1" s="753"/>
      <c r="WKI1" s="753"/>
      <c r="WKJ1" s="753"/>
      <c r="WKK1" s="753"/>
      <c r="WKL1" s="753"/>
      <c r="WKM1" s="753"/>
      <c r="WKN1" s="753"/>
      <c r="WKO1" s="753"/>
      <c r="WKP1" s="753"/>
      <c r="WKQ1" s="753"/>
      <c r="WKR1" s="753"/>
      <c r="WKS1" s="753"/>
      <c r="WKT1" s="753"/>
      <c r="WKU1" s="753"/>
      <c r="WKV1" s="753"/>
      <c r="WKW1" s="753"/>
      <c r="WKX1" s="753"/>
      <c r="WKY1" s="753"/>
      <c r="WKZ1" s="753"/>
      <c r="WLA1" s="753"/>
      <c r="WLB1" s="753"/>
      <c r="WLC1" s="753"/>
      <c r="WLD1" s="753"/>
      <c r="WLE1" s="753"/>
      <c r="WLF1" s="753"/>
      <c r="WLG1" s="753"/>
      <c r="WLH1" s="753"/>
      <c r="WLI1" s="753"/>
      <c r="WLJ1" s="753"/>
      <c r="WLK1" s="753"/>
      <c r="WLL1" s="753"/>
      <c r="WLM1" s="753"/>
      <c r="WLN1" s="753"/>
      <c r="WLO1" s="753"/>
      <c r="WLP1" s="753"/>
      <c r="WLQ1" s="753"/>
      <c r="WLR1" s="753"/>
      <c r="WLS1" s="753"/>
      <c r="WLT1" s="753"/>
      <c r="WLU1" s="753"/>
      <c r="WLV1" s="753"/>
      <c r="WLW1" s="753"/>
      <c r="WLX1" s="753"/>
      <c r="WLY1" s="753"/>
      <c r="WLZ1" s="753"/>
      <c r="WMA1" s="753"/>
      <c r="WMB1" s="753"/>
      <c r="WMC1" s="753"/>
      <c r="WMD1" s="753"/>
      <c r="WME1" s="753"/>
      <c r="WMF1" s="753"/>
      <c r="WMG1" s="753"/>
      <c r="WMH1" s="753"/>
      <c r="WMI1" s="753"/>
      <c r="WMJ1" s="753"/>
      <c r="WMK1" s="753"/>
      <c r="WML1" s="753"/>
      <c r="WMM1" s="753"/>
      <c r="WMN1" s="753"/>
      <c r="WMO1" s="753"/>
      <c r="WMP1" s="753"/>
      <c r="WMQ1" s="753"/>
      <c r="WMR1" s="753"/>
      <c r="WMS1" s="753"/>
      <c r="WMT1" s="753"/>
      <c r="WMU1" s="753"/>
      <c r="WMV1" s="753"/>
      <c r="WMW1" s="753"/>
      <c r="WMX1" s="753"/>
      <c r="WMY1" s="753"/>
      <c r="WMZ1" s="753"/>
      <c r="WNA1" s="753"/>
      <c r="WNB1" s="753"/>
      <c r="WNC1" s="753"/>
      <c r="WND1" s="753"/>
      <c r="WNE1" s="753"/>
      <c r="WNF1" s="753"/>
      <c r="WNG1" s="753"/>
      <c r="WNH1" s="753"/>
      <c r="WNI1" s="753"/>
      <c r="WNJ1" s="753"/>
      <c r="WNK1" s="753"/>
      <c r="WNL1" s="753"/>
      <c r="WNM1" s="753"/>
      <c r="WNN1" s="753"/>
      <c r="WNO1" s="753"/>
      <c r="WNP1" s="753"/>
      <c r="WNQ1" s="753"/>
      <c r="WNR1" s="753"/>
      <c r="WNS1" s="753"/>
      <c r="WNT1" s="753"/>
      <c r="WNU1" s="753"/>
      <c r="WNV1" s="753"/>
      <c r="WNW1" s="753"/>
      <c r="WNX1" s="753"/>
      <c r="WNY1" s="753"/>
      <c r="WNZ1" s="753"/>
      <c r="WOA1" s="753"/>
      <c r="WOB1" s="753"/>
      <c r="WOC1" s="753"/>
      <c r="WOD1" s="753"/>
      <c r="WOE1" s="753"/>
      <c r="WOF1" s="753"/>
      <c r="WOG1" s="753"/>
      <c r="WOH1" s="753"/>
      <c r="WOI1" s="753"/>
      <c r="WOJ1" s="753"/>
      <c r="WOK1" s="753"/>
      <c r="WOL1" s="753"/>
      <c r="WOM1" s="753"/>
      <c r="WON1" s="753"/>
      <c r="WOO1" s="753"/>
      <c r="WOP1" s="753"/>
      <c r="WOQ1" s="753"/>
      <c r="WOR1" s="753"/>
      <c r="WOS1" s="753"/>
      <c r="WOT1" s="753"/>
      <c r="WOU1" s="753"/>
      <c r="WOV1" s="753"/>
      <c r="WOW1" s="753"/>
      <c r="WOX1" s="753"/>
      <c r="WOY1" s="753"/>
      <c r="WOZ1" s="753"/>
      <c r="WPA1" s="753"/>
      <c r="WPB1" s="753"/>
      <c r="WPC1" s="753"/>
      <c r="WPD1" s="753"/>
      <c r="WPE1" s="753"/>
      <c r="WPF1" s="753"/>
      <c r="WPG1" s="753"/>
      <c r="WPH1" s="753"/>
      <c r="WPI1" s="753"/>
      <c r="WPJ1" s="753"/>
      <c r="WPK1" s="753"/>
      <c r="WPL1" s="753"/>
      <c r="WPM1" s="753"/>
      <c r="WPN1" s="753"/>
      <c r="WPO1" s="753"/>
      <c r="WPP1" s="753"/>
      <c r="WPQ1" s="753"/>
      <c r="WPR1" s="753"/>
      <c r="WPS1" s="753"/>
      <c r="WPT1" s="753"/>
      <c r="WPU1" s="753"/>
      <c r="WPV1" s="753"/>
      <c r="WPW1" s="753"/>
      <c r="WPX1" s="753"/>
      <c r="WPY1" s="753"/>
      <c r="WPZ1" s="753"/>
      <c r="WQA1" s="753"/>
      <c r="WQB1" s="753"/>
      <c r="WQC1" s="753"/>
      <c r="WQD1" s="753"/>
      <c r="WQE1" s="753"/>
      <c r="WQF1" s="753"/>
      <c r="WQG1" s="753"/>
      <c r="WQH1" s="753"/>
      <c r="WQI1" s="753"/>
      <c r="WQJ1" s="753"/>
      <c r="WQK1" s="753"/>
      <c r="WQL1" s="753"/>
      <c r="WQM1" s="753"/>
      <c r="WQN1" s="753"/>
      <c r="WQO1" s="753"/>
      <c r="WQP1" s="753"/>
      <c r="WQQ1" s="753"/>
      <c r="WQR1" s="753"/>
      <c r="WQS1" s="753"/>
      <c r="WQT1" s="753"/>
      <c r="WQU1" s="753"/>
      <c r="WQV1" s="753"/>
      <c r="WQW1" s="753"/>
      <c r="WQX1" s="753"/>
      <c r="WQY1" s="753"/>
      <c r="WQZ1" s="753"/>
      <c r="WRA1" s="753"/>
      <c r="WRB1" s="753"/>
      <c r="WRC1" s="753"/>
      <c r="WRD1" s="753"/>
      <c r="WRE1" s="753"/>
      <c r="WRF1" s="753"/>
      <c r="WRG1" s="753"/>
      <c r="WRH1" s="753"/>
      <c r="WRI1" s="753"/>
      <c r="WRJ1" s="753"/>
      <c r="WRK1" s="753"/>
      <c r="WRL1" s="753"/>
      <c r="WRM1" s="753"/>
      <c r="WRN1" s="753"/>
      <c r="WRO1" s="753"/>
      <c r="WRP1" s="753"/>
      <c r="WRQ1" s="753"/>
      <c r="WRR1" s="753"/>
      <c r="WRS1" s="753"/>
      <c r="WRT1" s="753"/>
      <c r="WRU1" s="753"/>
      <c r="WRV1" s="753"/>
      <c r="WRW1" s="753"/>
      <c r="WRX1" s="753"/>
      <c r="WRY1" s="753"/>
      <c r="WRZ1" s="753"/>
      <c r="WSA1" s="753"/>
      <c r="WSB1" s="753"/>
      <c r="WSC1" s="753"/>
      <c r="WSD1" s="753"/>
      <c r="WSE1" s="753"/>
      <c r="WSF1" s="753"/>
      <c r="WSG1" s="753"/>
      <c r="WSH1" s="753"/>
      <c r="WSI1" s="753"/>
      <c r="WSJ1" s="753"/>
      <c r="WSK1" s="753"/>
      <c r="WSL1" s="753"/>
      <c r="WSM1" s="753"/>
      <c r="WSN1" s="753"/>
      <c r="WSO1" s="753"/>
      <c r="WSP1" s="753"/>
      <c r="WSQ1" s="753"/>
      <c r="WSR1" s="753"/>
      <c r="WSS1" s="753"/>
      <c r="WST1" s="753"/>
      <c r="WSU1" s="753"/>
      <c r="WSV1" s="753"/>
      <c r="WSW1" s="753"/>
      <c r="WSX1" s="753"/>
      <c r="WSY1" s="753"/>
      <c r="WSZ1" s="753"/>
      <c r="WTA1" s="753"/>
      <c r="WTB1" s="753"/>
      <c r="WTC1" s="753"/>
      <c r="WTD1" s="753"/>
      <c r="WTE1" s="753"/>
      <c r="WTF1" s="753"/>
      <c r="WTG1" s="753"/>
      <c r="WTH1" s="753"/>
      <c r="WTI1" s="753"/>
      <c r="WTJ1" s="753"/>
      <c r="WTK1" s="753"/>
      <c r="WTL1" s="753"/>
      <c r="WTM1" s="753"/>
      <c r="WTN1" s="753"/>
      <c r="WTO1" s="753"/>
      <c r="WTP1" s="753"/>
      <c r="WTQ1" s="753"/>
      <c r="WTR1" s="753"/>
      <c r="WTS1" s="753"/>
      <c r="WTT1" s="753"/>
      <c r="WTU1" s="753"/>
      <c r="WTV1" s="753"/>
      <c r="WTW1" s="753"/>
      <c r="WTX1" s="753"/>
      <c r="WTY1" s="753"/>
      <c r="WTZ1" s="753"/>
      <c r="WUA1" s="753"/>
      <c r="WUB1" s="753"/>
      <c r="WUC1" s="753"/>
      <c r="WUD1" s="753"/>
      <c r="WUE1" s="753"/>
      <c r="WUF1" s="753"/>
      <c r="WUG1" s="753"/>
      <c r="WUH1" s="753"/>
      <c r="WUI1" s="753"/>
      <c r="WUJ1" s="753"/>
      <c r="WUK1" s="753"/>
      <c r="WUL1" s="753"/>
      <c r="WUM1" s="753"/>
      <c r="WUN1" s="753"/>
      <c r="WUO1" s="753"/>
      <c r="WUP1" s="753"/>
      <c r="WUQ1" s="753"/>
      <c r="WUR1" s="753"/>
      <c r="WUS1" s="753"/>
      <c r="WUT1" s="753"/>
      <c r="WUU1" s="753"/>
      <c r="WUV1" s="753"/>
      <c r="WUW1" s="753"/>
      <c r="WUX1" s="753"/>
      <c r="WUY1" s="753"/>
      <c r="WUZ1" s="753"/>
      <c r="WVA1" s="753"/>
      <c r="WVB1" s="753"/>
      <c r="WVC1" s="753"/>
      <c r="WVD1" s="753"/>
      <c r="WVE1" s="753"/>
      <c r="WVF1" s="753"/>
      <c r="WVG1" s="753"/>
      <c r="WVH1" s="753"/>
      <c r="WVI1" s="753"/>
      <c r="WVJ1" s="753"/>
      <c r="WVK1" s="753"/>
      <c r="WVL1" s="753"/>
      <c r="WVM1" s="753"/>
      <c r="WVN1" s="753"/>
      <c r="WVO1" s="753"/>
      <c r="WVP1" s="753"/>
      <c r="WVQ1" s="753"/>
      <c r="WVR1" s="753"/>
      <c r="WVS1" s="753"/>
      <c r="WVT1" s="753"/>
      <c r="WVU1" s="753"/>
      <c r="WVV1" s="753"/>
      <c r="WVW1" s="753"/>
      <c r="WVX1" s="753"/>
      <c r="WVY1" s="753"/>
      <c r="WVZ1" s="753"/>
      <c r="WWA1" s="753"/>
      <c r="WWB1" s="753"/>
      <c r="WWC1" s="753"/>
      <c r="WWD1" s="753"/>
      <c r="WWE1" s="753"/>
      <c r="WWF1" s="753"/>
      <c r="WWG1" s="753"/>
      <c r="WWH1" s="753"/>
      <c r="WWI1" s="753"/>
      <c r="WWJ1" s="753"/>
      <c r="WWK1" s="753"/>
      <c r="WWL1" s="753"/>
      <c r="WWM1" s="753"/>
      <c r="WWN1" s="753"/>
      <c r="WWO1" s="753"/>
      <c r="WWP1" s="753"/>
      <c r="WWQ1" s="753"/>
      <c r="WWR1" s="753"/>
      <c r="WWS1" s="753"/>
      <c r="WWT1" s="753"/>
      <c r="WWU1" s="753"/>
      <c r="WWV1" s="753"/>
      <c r="WWW1" s="753"/>
      <c r="WWX1" s="753"/>
      <c r="WWY1" s="753"/>
      <c r="WWZ1" s="753"/>
      <c r="WXA1" s="753"/>
      <c r="WXB1" s="753"/>
      <c r="WXC1" s="753"/>
      <c r="WXD1" s="753"/>
      <c r="WXE1" s="753"/>
      <c r="WXF1" s="753"/>
      <c r="WXG1" s="753"/>
      <c r="WXH1" s="753"/>
      <c r="WXI1" s="753"/>
      <c r="WXJ1" s="753"/>
      <c r="WXK1" s="753"/>
      <c r="WXL1" s="753"/>
      <c r="WXM1" s="753"/>
      <c r="WXN1" s="753"/>
      <c r="WXO1" s="753"/>
      <c r="WXP1" s="753"/>
      <c r="WXQ1" s="753"/>
      <c r="WXR1" s="753"/>
      <c r="WXS1" s="753"/>
      <c r="WXT1" s="753"/>
      <c r="WXU1" s="753"/>
      <c r="WXV1" s="753"/>
      <c r="WXW1" s="753"/>
      <c r="WXX1" s="753"/>
      <c r="WXY1" s="753"/>
      <c r="WXZ1" s="753"/>
      <c r="WYA1" s="753"/>
      <c r="WYB1" s="753"/>
      <c r="WYC1" s="753"/>
      <c r="WYD1" s="753"/>
      <c r="WYE1" s="753"/>
      <c r="WYF1" s="753"/>
      <c r="WYG1" s="753"/>
      <c r="WYH1" s="753"/>
      <c r="WYI1" s="753"/>
      <c r="WYJ1" s="753"/>
      <c r="WYK1" s="753"/>
      <c r="WYL1" s="753"/>
      <c r="WYM1" s="753"/>
      <c r="WYN1" s="753"/>
      <c r="WYO1" s="753"/>
      <c r="WYP1" s="753"/>
      <c r="WYQ1" s="753"/>
      <c r="WYR1" s="753"/>
      <c r="WYS1" s="753"/>
      <c r="WYT1" s="753"/>
      <c r="WYU1" s="753"/>
      <c r="WYV1" s="753"/>
      <c r="WYW1" s="753"/>
      <c r="WYX1" s="753"/>
      <c r="WYY1" s="753"/>
      <c r="WYZ1" s="753"/>
      <c r="WZA1" s="753"/>
      <c r="WZB1" s="753"/>
      <c r="WZC1" s="753"/>
      <c r="WZD1" s="753"/>
      <c r="WZE1" s="753"/>
      <c r="WZF1" s="753"/>
      <c r="WZG1" s="753"/>
      <c r="WZH1" s="753"/>
      <c r="WZI1" s="753"/>
      <c r="WZJ1" s="753"/>
      <c r="WZK1" s="753"/>
      <c r="WZL1" s="753"/>
      <c r="WZM1" s="753"/>
      <c r="WZN1" s="753"/>
      <c r="WZO1" s="753"/>
      <c r="WZP1" s="753"/>
      <c r="WZQ1" s="753"/>
      <c r="WZR1" s="753"/>
      <c r="WZS1" s="753"/>
      <c r="WZT1" s="753"/>
      <c r="WZU1" s="753"/>
      <c r="WZV1" s="753"/>
      <c r="WZW1" s="753"/>
      <c r="WZX1" s="753"/>
      <c r="WZY1" s="753"/>
      <c r="WZZ1" s="753"/>
      <c r="XAA1" s="753"/>
      <c r="XAB1" s="753"/>
      <c r="XAC1" s="753"/>
      <c r="XAD1" s="753"/>
      <c r="XAE1" s="753"/>
      <c r="XAF1" s="753"/>
      <c r="XAG1" s="753"/>
      <c r="XAH1" s="753"/>
      <c r="XAI1" s="753"/>
      <c r="XAJ1" s="753"/>
      <c r="XAK1" s="753"/>
      <c r="XAL1" s="753"/>
      <c r="XAM1" s="753"/>
      <c r="XAN1" s="753"/>
      <c r="XAO1" s="753"/>
      <c r="XAP1" s="753"/>
      <c r="XAQ1" s="753"/>
      <c r="XAR1" s="753"/>
      <c r="XAS1" s="753"/>
      <c r="XAT1" s="753"/>
      <c r="XAU1" s="753"/>
      <c r="XAV1" s="753"/>
      <c r="XAW1" s="753"/>
      <c r="XAX1" s="753"/>
      <c r="XAY1" s="753"/>
      <c r="XAZ1" s="753"/>
      <c r="XBA1" s="753"/>
      <c r="XBB1" s="753"/>
      <c r="XBC1" s="753"/>
      <c r="XBD1" s="753"/>
      <c r="XBE1" s="753"/>
      <c r="XBF1" s="753"/>
      <c r="XBG1" s="753"/>
      <c r="XBH1" s="753"/>
      <c r="XBI1" s="753"/>
      <c r="XBJ1" s="753"/>
      <c r="XBK1" s="753"/>
      <c r="XBL1" s="753"/>
      <c r="XBM1" s="753"/>
      <c r="XBN1" s="753"/>
      <c r="XBO1" s="753"/>
      <c r="XBP1" s="753"/>
      <c r="XBQ1" s="753"/>
      <c r="XBR1" s="753"/>
      <c r="XBS1" s="753"/>
      <c r="XBT1" s="753"/>
      <c r="XBU1" s="753"/>
      <c r="XBV1" s="753"/>
      <c r="XBW1" s="753"/>
      <c r="XBX1" s="753"/>
      <c r="XBY1" s="753"/>
      <c r="XBZ1" s="753"/>
      <c r="XCA1" s="753"/>
      <c r="XCB1" s="753"/>
      <c r="XCC1" s="753"/>
      <c r="XCD1" s="753"/>
      <c r="XCE1" s="753"/>
      <c r="XCF1" s="753"/>
      <c r="XCG1" s="753"/>
      <c r="XCH1" s="753"/>
      <c r="XCI1" s="753"/>
      <c r="XCJ1" s="753"/>
      <c r="XCK1" s="753"/>
      <c r="XCL1" s="753"/>
      <c r="XCM1" s="753"/>
      <c r="XCN1" s="753"/>
      <c r="XCO1" s="753"/>
      <c r="XCP1" s="753"/>
      <c r="XCQ1" s="753"/>
      <c r="XCR1" s="753"/>
      <c r="XCS1" s="753"/>
      <c r="XCT1" s="753"/>
      <c r="XCU1" s="753"/>
      <c r="XCV1" s="753"/>
      <c r="XCW1" s="753"/>
      <c r="XCX1" s="753"/>
      <c r="XCY1" s="753"/>
      <c r="XCZ1" s="753"/>
      <c r="XDA1" s="753"/>
      <c r="XDB1" s="753"/>
      <c r="XDC1" s="753"/>
      <c r="XDD1" s="753"/>
      <c r="XDE1" s="753"/>
      <c r="XDF1" s="753"/>
      <c r="XDG1" s="753"/>
      <c r="XDH1" s="753"/>
      <c r="XDI1" s="753"/>
      <c r="XDJ1" s="753"/>
      <c r="XDK1" s="753"/>
      <c r="XDL1" s="753"/>
      <c r="XDM1" s="753"/>
      <c r="XDN1" s="753"/>
      <c r="XDO1" s="753"/>
      <c r="XDP1" s="753"/>
      <c r="XDQ1" s="753"/>
      <c r="XDR1" s="753"/>
      <c r="XDS1" s="753"/>
      <c r="XDT1" s="753"/>
      <c r="XDU1" s="753"/>
      <c r="XDV1" s="753"/>
      <c r="XDW1" s="753"/>
      <c r="XDX1" s="753"/>
      <c r="XDY1" s="753"/>
      <c r="XDZ1" s="753"/>
      <c r="XEA1" s="753"/>
      <c r="XEB1" s="753"/>
      <c r="XEC1" s="753"/>
      <c r="XED1" s="753"/>
      <c r="XEE1" s="753"/>
      <c r="XEF1" s="753"/>
      <c r="XEG1" s="753"/>
      <c r="XEH1" s="753"/>
      <c r="XEI1" s="753"/>
      <c r="XEJ1" s="753"/>
      <c r="XEK1" s="753"/>
      <c r="XEL1" s="753"/>
      <c r="XEM1" s="753"/>
      <c r="XEN1" s="753"/>
      <c r="XEO1" s="753"/>
      <c r="XEP1" s="753"/>
      <c r="XEQ1" s="753"/>
      <c r="XER1" s="753"/>
      <c r="XES1" s="753"/>
      <c r="XET1" s="753"/>
      <c r="XEU1" s="753"/>
      <c r="XEV1" s="753"/>
      <c r="XEW1" s="753"/>
      <c r="XEX1" s="753"/>
      <c r="XEY1" s="753"/>
      <c r="XEZ1" s="753"/>
    </row>
    <row r="2" spans="1:16380" customFormat="1" ht="20">
      <c r="A2" s="644" t="str">
        <f>Licensee</f>
        <v>NGET (TO)</v>
      </c>
      <c r="B2" s="647"/>
      <c r="C2" s="647"/>
      <c r="D2" s="16"/>
      <c r="E2" s="16"/>
      <c r="F2" s="16"/>
      <c r="G2" s="16"/>
      <c r="H2" s="16"/>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c r="XEZ2" s="15"/>
    </row>
    <row r="3" spans="1:16380" s="180" customFormat="1" ht="20">
      <c r="A3" s="639">
        <f>Reporting_Year</f>
        <v>2022</v>
      </c>
      <c r="B3" s="976" t="str">
        <f>'R5 - Financing'!B3</f>
        <v/>
      </c>
      <c r="C3" s="976"/>
      <c r="D3" s="976"/>
      <c r="E3" s="976"/>
      <c r="F3" s="976"/>
      <c r="G3" s="963"/>
      <c r="H3" s="963"/>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4"/>
      <c r="CN3" s="964"/>
      <c r="CO3" s="964"/>
      <c r="CP3" s="964"/>
      <c r="CQ3" s="964"/>
      <c r="CR3" s="964"/>
      <c r="CS3" s="964"/>
      <c r="CT3" s="964"/>
      <c r="CU3" s="964"/>
      <c r="CV3" s="964"/>
      <c r="CW3" s="964"/>
      <c r="CX3" s="964"/>
      <c r="CY3" s="964"/>
      <c r="CZ3" s="964"/>
      <c r="DA3" s="964"/>
      <c r="DB3" s="964"/>
      <c r="DC3" s="964"/>
      <c r="DD3" s="964"/>
      <c r="DE3" s="964"/>
      <c r="DF3" s="964"/>
      <c r="DG3" s="964"/>
      <c r="DH3" s="964"/>
      <c r="DI3" s="964"/>
      <c r="DJ3" s="964"/>
      <c r="DK3" s="964"/>
      <c r="DL3" s="964"/>
      <c r="DM3" s="964"/>
      <c r="DN3" s="964"/>
      <c r="DO3" s="964"/>
      <c r="DP3" s="964"/>
      <c r="DQ3" s="964"/>
      <c r="DR3" s="964"/>
      <c r="DS3" s="964"/>
      <c r="DT3" s="964"/>
      <c r="DU3" s="964"/>
      <c r="DV3" s="964"/>
      <c r="DW3" s="964"/>
      <c r="DX3" s="964"/>
      <c r="DY3" s="964"/>
      <c r="DZ3" s="964"/>
      <c r="EA3" s="964"/>
      <c r="EB3" s="964"/>
      <c r="EC3" s="964"/>
      <c r="ED3" s="964"/>
      <c r="EE3" s="964"/>
      <c r="EF3" s="964"/>
      <c r="EG3" s="964"/>
      <c r="EH3" s="964"/>
      <c r="EI3" s="964"/>
      <c r="EJ3" s="964"/>
      <c r="EK3" s="964"/>
      <c r="EL3" s="964"/>
      <c r="EM3" s="964"/>
      <c r="EN3" s="964"/>
      <c r="EO3" s="964"/>
      <c r="EP3" s="964"/>
      <c r="EQ3" s="964"/>
      <c r="ER3" s="964"/>
      <c r="ES3" s="964"/>
      <c r="ET3" s="964"/>
      <c r="EU3" s="964"/>
      <c r="EV3" s="964"/>
      <c r="EW3" s="964"/>
      <c r="EX3" s="964"/>
      <c r="EY3" s="964"/>
      <c r="EZ3" s="964"/>
      <c r="FA3" s="964"/>
      <c r="FB3" s="964"/>
      <c r="FC3" s="964"/>
      <c r="FD3" s="964"/>
      <c r="FE3" s="964"/>
      <c r="FF3" s="964"/>
      <c r="FG3" s="964"/>
      <c r="FH3" s="964"/>
      <c r="FI3" s="964"/>
      <c r="FJ3" s="964"/>
      <c r="FK3" s="964"/>
      <c r="FL3" s="964"/>
      <c r="FM3" s="964"/>
      <c r="FN3" s="964"/>
      <c r="FO3" s="964"/>
      <c r="FP3" s="964"/>
      <c r="FQ3" s="964"/>
      <c r="FR3" s="964"/>
      <c r="FS3" s="964"/>
      <c r="FT3" s="964"/>
      <c r="FU3" s="964"/>
      <c r="FV3" s="964"/>
      <c r="FW3" s="964"/>
      <c r="FX3" s="964"/>
      <c r="FY3" s="964"/>
      <c r="FZ3" s="964"/>
      <c r="GA3" s="964"/>
      <c r="GB3" s="964"/>
      <c r="GC3" s="964"/>
      <c r="GD3" s="964"/>
      <c r="GE3" s="964"/>
      <c r="GF3" s="964"/>
      <c r="GG3" s="964"/>
      <c r="GH3" s="964"/>
      <c r="GI3" s="964"/>
      <c r="GJ3" s="964"/>
      <c r="GK3" s="964"/>
      <c r="GL3" s="964"/>
      <c r="GM3" s="964"/>
      <c r="GN3" s="964"/>
      <c r="GO3" s="964"/>
      <c r="GP3" s="964"/>
      <c r="GQ3" s="964"/>
      <c r="GR3" s="964"/>
      <c r="GS3" s="964"/>
      <c r="GT3" s="964"/>
      <c r="GU3" s="964"/>
      <c r="GV3" s="964"/>
      <c r="GW3" s="964"/>
      <c r="GX3" s="964"/>
      <c r="GY3" s="964"/>
      <c r="GZ3" s="964"/>
      <c r="HA3" s="964"/>
      <c r="HB3" s="964"/>
      <c r="HC3" s="964"/>
      <c r="HD3" s="964"/>
      <c r="HE3" s="964"/>
      <c r="HF3" s="964"/>
      <c r="HG3" s="964"/>
      <c r="HH3" s="964"/>
      <c r="HI3" s="964"/>
      <c r="HJ3" s="964"/>
      <c r="HK3" s="964"/>
      <c r="HL3" s="964"/>
      <c r="HM3" s="964"/>
      <c r="HN3" s="964"/>
      <c r="HO3" s="964"/>
      <c r="HP3" s="964"/>
      <c r="HQ3" s="964"/>
      <c r="HR3" s="964"/>
      <c r="HS3" s="964"/>
      <c r="HT3" s="964"/>
      <c r="HU3" s="964"/>
      <c r="HV3" s="964"/>
      <c r="HW3" s="964"/>
      <c r="HX3" s="964"/>
      <c r="HY3" s="964"/>
      <c r="HZ3" s="964"/>
      <c r="IA3" s="964"/>
      <c r="IB3" s="964"/>
      <c r="IC3" s="964"/>
      <c r="ID3" s="964"/>
      <c r="IE3" s="964"/>
      <c r="IF3" s="964"/>
      <c r="IG3" s="964"/>
      <c r="IH3" s="964"/>
      <c r="II3" s="964"/>
      <c r="IJ3" s="964"/>
      <c r="IK3" s="964"/>
      <c r="IL3" s="964"/>
      <c r="IM3" s="964"/>
      <c r="IN3" s="964"/>
      <c r="IO3" s="964"/>
      <c r="IP3" s="964"/>
      <c r="IQ3" s="964"/>
      <c r="IR3" s="964"/>
      <c r="IS3" s="964"/>
      <c r="IT3" s="964"/>
      <c r="IU3" s="964"/>
      <c r="IV3" s="964"/>
      <c r="IW3" s="964"/>
      <c r="IX3" s="964"/>
      <c r="IY3" s="964"/>
      <c r="IZ3" s="964"/>
      <c r="JA3" s="964"/>
      <c r="JB3" s="964"/>
      <c r="JC3" s="964"/>
      <c r="JD3" s="964"/>
      <c r="JE3" s="964"/>
      <c r="JF3" s="964"/>
      <c r="JG3" s="964"/>
      <c r="JH3" s="964"/>
      <c r="JI3" s="964"/>
      <c r="JJ3" s="964"/>
      <c r="JK3" s="964"/>
      <c r="JL3" s="964"/>
      <c r="JM3" s="964"/>
      <c r="JN3" s="964"/>
      <c r="JO3" s="964"/>
      <c r="JP3" s="964"/>
      <c r="JQ3" s="964"/>
      <c r="JR3" s="964"/>
      <c r="JS3" s="964"/>
      <c r="JT3" s="964"/>
      <c r="JU3" s="964"/>
      <c r="JV3" s="964"/>
      <c r="JW3" s="964"/>
      <c r="JX3" s="964"/>
      <c r="JY3" s="964"/>
      <c r="JZ3" s="964"/>
      <c r="KA3" s="964"/>
      <c r="KB3" s="964"/>
      <c r="KC3" s="964"/>
      <c r="KD3" s="964"/>
      <c r="KE3" s="964"/>
      <c r="KF3" s="964"/>
      <c r="KG3" s="964"/>
      <c r="KH3" s="964"/>
      <c r="KI3" s="964"/>
      <c r="KJ3" s="964"/>
      <c r="KK3" s="964"/>
      <c r="KL3" s="964"/>
      <c r="KM3" s="964"/>
      <c r="KN3" s="964"/>
      <c r="KO3" s="964"/>
      <c r="KP3" s="964"/>
      <c r="KQ3" s="964"/>
      <c r="KR3" s="964"/>
      <c r="KS3" s="964"/>
      <c r="KT3" s="964"/>
      <c r="KU3" s="964"/>
      <c r="KV3" s="964"/>
      <c r="KW3" s="964"/>
      <c r="KX3" s="964"/>
      <c r="KY3" s="964"/>
      <c r="KZ3" s="964"/>
      <c r="LA3" s="964"/>
      <c r="LB3" s="964"/>
      <c r="LC3" s="964"/>
      <c r="LD3" s="964"/>
      <c r="LE3" s="964"/>
      <c r="LF3" s="964"/>
      <c r="LG3" s="964"/>
      <c r="LH3" s="964"/>
      <c r="LI3" s="964"/>
      <c r="LJ3" s="964"/>
      <c r="LK3" s="964"/>
      <c r="LL3" s="964"/>
      <c r="LM3" s="964"/>
      <c r="LN3" s="964"/>
      <c r="LO3" s="964"/>
      <c r="LP3" s="964"/>
      <c r="LQ3" s="964"/>
      <c r="LR3" s="964"/>
      <c r="LS3" s="964"/>
      <c r="LT3" s="964"/>
      <c r="LU3" s="964"/>
      <c r="LV3" s="964"/>
      <c r="LW3" s="964"/>
      <c r="LX3" s="964"/>
      <c r="LY3" s="964"/>
      <c r="LZ3" s="964"/>
      <c r="MA3" s="964"/>
      <c r="MB3" s="964"/>
      <c r="MC3" s="964"/>
      <c r="MD3" s="964"/>
      <c r="ME3" s="964"/>
      <c r="MF3" s="964"/>
      <c r="MG3" s="964"/>
      <c r="MH3" s="964"/>
      <c r="MI3" s="964"/>
      <c r="MJ3" s="964"/>
      <c r="MK3" s="964"/>
      <c r="ML3" s="964"/>
      <c r="MM3" s="964"/>
      <c r="MN3" s="964"/>
      <c r="MO3" s="964"/>
      <c r="MP3" s="964"/>
      <c r="MQ3" s="964"/>
      <c r="MR3" s="964"/>
      <c r="MS3" s="964"/>
      <c r="MT3" s="964"/>
      <c r="MU3" s="964"/>
      <c r="MV3" s="964"/>
      <c r="MW3" s="964"/>
      <c r="MX3" s="964"/>
      <c r="MY3" s="964"/>
      <c r="MZ3" s="964"/>
      <c r="NA3" s="964"/>
      <c r="NB3" s="964"/>
      <c r="NC3" s="964"/>
      <c r="ND3" s="964"/>
      <c r="NE3" s="964"/>
      <c r="NF3" s="964"/>
      <c r="NG3" s="964"/>
      <c r="NH3" s="964"/>
      <c r="NI3" s="964"/>
      <c r="NJ3" s="964"/>
      <c r="NK3" s="964"/>
      <c r="NL3" s="964"/>
      <c r="NM3" s="964"/>
      <c r="NN3" s="964"/>
      <c r="NO3" s="964"/>
      <c r="NP3" s="964"/>
      <c r="NQ3" s="964"/>
      <c r="NR3" s="964"/>
      <c r="NS3" s="964"/>
      <c r="NT3" s="964"/>
      <c r="NU3" s="964"/>
      <c r="NV3" s="964"/>
      <c r="NW3" s="964"/>
      <c r="NX3" s="964"/>
      <c r="NY3" s="964"/>
      <c r="NZ3" s="964"/>
      <c r="OA3" s="964"/>
      <c r="OB3" s="964"/>
      <c r="OC3" s="964"/>
      <c r="OD3" s="964"/>
      <c r="OE3" s="964"/>
      <c r="OF3" s="964"/>
      <c r="OG3" s="964"/>
      <c r="OH3" s="964"/>
      <c r="OI3" s="964"/>
      <c r="OJ3" s="964"/>
      <c r="OK3" s="964"/>
      <c r="OL3" s="964"/>
      <c r="OM3" s="964"/>
      <c r="ON3" s="964"/>
      <c r="OO3" s="964"/>
      <c r="OP3" s="964"/>
      <c r="OQ3" s="964"/>
      <c r="OR3" s="964"/>
      <c r="OS3" s="964"/>
      <c r="OT3" s="964"/>
      <c r="OU3" s="964"/>
      <c r="OV3" s="964"/>
      <c r="OW3" s="964"/>
      <c r="OX3" s="964"/>
      <c r="OY3" s="964"/>
      <c r="OZ3" s="964"/>
      <c r="PA3" s="964"/>
      <c r="PB3" s="964"/>
      <c r="PC3" s="964"/>
      <c r="PD3" s="964"/>
      <c r="PE3" s="964"/>
      <c r="PF3" s="964"/>
      <c r="PG3" s="964"/>
      <c r="PH3" s="964"/>
      <c r="PI3" s="964"/>
      <c r="PJ3" s="964"/>
      <c r="PK3" s="964"/>
      <c r="PL3" s="964"/>
      <c r="PM3" s="964"/>
      <c r="PN3" s="964"/>
      <c r="PO3" s="964"/>
      <c r="PP3" s="964"/>
      <c r="PQ3" s="964"/>
      <c r="PR3" s="964"/>
      <c r="PS3" s="964"/>
      <c r="PT3" s="964"/>
      <c r="PU3" s="964"/>
      <c r="PV3" s="964"/>
      <c r="PW3" s="964"/>
      <c r="PX3" s="964"/>
      <c r="PY3" s="964"/>
      <c r="PZ3" s="964"/>
      <c r="QA3" s="964"/>
      <c r="QB3" s="964"/>
      <c r="QC3" s="964"/>
      <c r="QD3" s="964"/>
      <c r="QE3" s="964"/>
      <c r="QF3" s="964"/>
      <c r="QG3" s="964"/>
      <c r="QH3" s="964"/>
      <c r="QI3" s="964"/>
      <c r="QJ3" s="964"/>
      <c r="QK3" s="964"/>
      <c r="QL3" s="964"/>
      <c r="QM3" s="964"/>
      <c r="QN3" s="964"/>
      <c r="QO3" s="964"/>
      <c r="QP3" s="964"/>
      <c r="QQ3" s="964"/>
      <c r="QR3" s="964"/>
      <c r="QS3" s="964"/>
      <c r="QT3" s="964"/>
      <c r="QU3" s="964"/>
      <c r="QV3" s="964"/>
      <c r="QW3" s="964"/>
      <c r="QX3" s="964"/>
      <c r="QY3" s="964"/>
      <c r="QZ3" s="964"/>
      <c r="RA3" s="964"/>
      <c r="RB3" s="964"/>
      <c r="RC3" s="964"/>
      <c r="RD3" s="964"/>
      <c r="RE3" s="964"/>
      <c r="RF3" s="964"/>
      <c r="RG3" s="964"/>
      <c r="RH3" s="964"/>
      <c r="RI3" s="964"/>
      <c r="RJ3" s="964"/>
      <c r="RK3" s="964"/>
      <c r="RL3" s="964"/>
      <c r="RM3" s="964"/>
      <c r="RN3" s="964"/>
      <c r="RO3" s="964"/>
      <c r="RP3" s="964"/>
      <c r="RQ3" s="964"/>
      <c r="RR3" s="964"/>
      <c r="RS3" s="964"/>
      <c r="RT3" s="964"/>
      <c r="RU3" s="964"/>
      <c r="RV3" s="964"/>
      <c r="RW3" s="964"/>
      <c r="RX3" s="964"/>
      <c r="RY3" s="964"/>
      <c r="RZ3" s="964"/>
      <c r="SA3" s="964"/>
      <c r="SB3" s="964"/>
      <c r="SC3" s="964"/>
      <c r="SD3" s="964"/>
      <c r="SE3" s="964"/>
      <c r="SF3" s="964"/>
      <c r="SG3" s="964"/>
      <c r="SH3" s="964"/>
      <c r="SI3" s="964"/>
      <c r="SJ3" s="964"/>
      <c r="SK3" s="964"/>
      <c r="SL3" s="964"/>
      <c r="SM3" s="964"/>
      <c r="SN3" s="964"/>
      <c r="SO3" s="964"/>
      <c r="SP3" s="964"/>
      <c r="SQ3" s="964"/>
      <c r="SR3" s="964"/>
      <c r="SS3" s="964"/>
      <c r="ST3" s="964"/>
      <c r="SU3" s="964"/>
      <c r="SV3" s="964"/>
      <c r="SW3" s="964"/>
      <c r="SX3" s="964"/>
      <c r="SY3" s="964"/>
      <c r="SZ3" s="964"/>
      <c r="TA3" s="964"/>
      <c r="TB3" s="964"/>
      <c r="TC3" s="964"/>
      <c r="TD3" s="964"/>
      <c r="TE3" s="964"/>
      <c r="TF3" s="964"/>
      <c r="TG3" s="964"/>
      <c r="TH3" s="964"/>
      <c r="TI3" s="964"/>
      <c r="TJ3" s="964"/>
      <c r="TK3" s="964"/>
      <c r="TL3" s="964"/>
      <c r="TM3" s="964"/>
      <c r="TN3" s="964"/>
      <c r="TO3" s="964"/>
      <c r="TP3" s="964"/>
      <c r="TQ3" s="964"/>
      <c r="TR3" s="964"/>
      <c r="TS3" s="964"/>
      <c r="TT3" s="964"/>
      <c r="TU3" s="964"/>
      <c r="TV3" s="964"/>
      <c r="TW3" s="964"/>
      <c r="TX3" s="964"/>
      <c r="TY3" s="964"/>
      <c r="TZ3" s="964"/>
      <c r="UA3" s="964"/>
      <c r="UB3" s="964"/>
      <c r="UC3" s="964"/>
      <c r="UD3" s="964"/>
      <c r="UE3" s="964"/>
      <c r="UF3" s="964"/>
      <c r="UG3" s="964"/>
      <c r="UH3" s="964"/>
      <c r="UI3" s="964"/>
      <c r="UJ3" s="964"/>
      <c r="UK3" s="964"/>
      <c r="UL3" s="964"/>
      <c r="UM3" s="964"/>
      <c r="UN3" s="964"/>
      <c r="UO3" s="964"/>
      <c r="UP3" s="964"/>
      <c r="UQ3" s="964"/>
      <c r="UR3" s="964"/>
      <c r="US3" s="964"/>
      <c r="UT3" s="964"/>
      <c r="UU3" s="964"/>
      <c r="UV3" s="964"/>
      <c r="UW3" s="964"/>
      <c r="UX3" s="964"/>
      <c r="UY3" s="964"/>
      <c r="UZ3" s="964"/>
      <c r="VA3" s="964"/>
      <c r="VB3" s="964"/>
      <c r="VC3" s="964"/>
      <c r="VD3" s="964"/>
      <c r="VE3" s="964"/>
      <c r="VF3" s="964"/>
      <c r="VG3" s="964"/>
      <c r="VH3" s="964"/>
      <c r="VI3" s="964"/>
      <c r="VJ3" s="964"/>
      <c r="VK3" s="964"/>
      <c r="VL3" s="964"/>
      <c r="VM3" s="964"/>
      <c r="VN3" s="964"/>
      <c r="VO3" s="964"/>
      <c r="VP3" s="964"/>
      <c r="VQ3" s="964"/>
      <c r="VR3" s="964"/>
      <c r="VS3" s="964"/>
      <c r="VT3" s="964"/>
      <c r="VU3" s="964"/>
      <c r="VV3" s="964"/>
      <c r="VW3" s="964"/>
      <c r="VX3" s="964"/>
      <c r="VY3" s="964"/>
      <c r="VZ3" s="964"/>
      <c r="WA3" s="964"/>
      <c r="WB3" s="964"/>
      <c r="WC3" s="964"/>
      <c r="WD3" s="964"/>
      <c r="WE3" s="964"/>
      <c r="WF3" s="964"/>
      <c r="WG3" s="964"/>
      <c r="WH3" s="964"/>
      <c r="WI3" s="964"/>
      <c r="WJ3" s="964"/>
      <c r="WK3" s="964"/>
      <c r="WL3" s="964"/>
      <c r="WM3" s="964"/>
      <c r="WN3" s="964"/>
      <c r="WO3" s="964"/>
      <c r="WP3" s="964"/>
      <c r="WQ3" s="964"/>
      <c r="WR3" s="964"/>
      <c r="WS3" s="964"/>
      <c r="WT3" s="964"/>
      <c r="WU3" s="964"/>
      <c r="WV3" s="964"/>
      <c r="WW3" s="964"/>
      <c r="WX3" s="964"/>
      <c r="WY3" s="964"/>
      <c r="WZ3" s="964"/>
      <c r="XA3" s="964"/>
      <c r="XB3" s="964"/>
      <c r="XC3" s="964"/>
      <c r="XD3" s="964"/>
      <c r="XE3" s="964"/>
      <c r="XF3" s="964"/>
      <c r="XG3" s="964"/>
      <c r="XH3" s="964"/>
      <c r="XI3" s="964"/>
      <c r="XJ3" s="964"/>
      <c r="XK3" s="964"/>
      <c r="XL3" s="964"/>
      <c r="XM3" s="964"/>
      <c r="XN3" s="964"/>
      <c r="XO3" s="964"/>
      <c r="XP3" s="964"/>
      <c r="XQ3" s="964"/>
      <c r="XR3" s="964"/>
      <c r="XS3" s="964"/>
      <c r="XT3" s="964"/>
      <c r="XU3" s="964"/>
      <c r="XV3" s="964"/>
      <c r="XW3" s="964"/>
      <c r="XX3" s="964"/>
      <c r="XY3" s="964"/>
      <c r="XZ3" s="964"/>
      <c r="YA3" s="964"/>
      <c r="YB3" s="964"/>
      <c r="YC3" s="964"/>
      <c r="YD3" s="964"/>
      <c r="YE3" s="964"/>
      <c r="YF3" s="964"/>
      <c r="YG3" s="964"/>
      <c r="YH3" s="964"/>
      <c r="YI3" s="964"/>
      <c r="YJ3" s="964"/>
      <c r="YK3" s="964"/>
      <c r="YL3" s="964"/>
      <c r="YM3" s="964"/>
      <c r="YN3" s="964"/>
      <c r="YO3" s="964"/>
      <c r="YP3" s="964"/>
      <c r="YQ3" s="964"/>
      <c r="YR3" s="964"/>
      <c r="YS3" s="964"/>
      <c r="YT3" s="964"/>
      <c r="YU3" s="964"/>
      <c r="YV3" s="964"/>
      <c r="YW3" s="964"/>
      <c r="YX3" s="964"/>
      <c r="YY3" s="964"/>
      <c r="YZ3" s="964"/>
      <c r="ZA3" s="964"/>
      <c r="ZB3" s="964"/>
      <c r="ZC3" s="964"/>
      <c r="ZD3" s="964"/>
      <c r="ZE3" s="964"/>
      <c r="ZF3" s="964"/>
      <c r="ZG3" s="964"/>
      <c r="ZH3" s="964"/>
      <c r="ZI3" s="964"/>
      <c r="ZJ3" s="964"/>
      <c r="ZK3" s="964"/>
      <c r="ZL3" s="964"/>
      <c r="ZM3" s="964"/>
      <c r="ZN3" s="964"/>
      <c r="ZO3" s="964"/>
      <c r="ZP3" s="964"/>
      <c r="ZQ3" s="964"/>
      <c r="ZR3" s="964"/>
      <c r="ZS3" s="964"/>
      <c r="ZT3" s="964"/>
      <c r="ZU3" s="964"/>
      <c r="ZV3" s="964"/>
      <c r="ZW3" s="964"/>
      <c r="ZX3" s="964"/>
      <c r="ZY3" s="964"/>
      <c r="ZZ3" s="964"/>
      <c r="AAA3" s="964"/>
      <c r="AAB3" s="964"/>
      <c r="AAC3" s="964"/>
      <c r="AAD3" s="964"/>
      <c r="AAE3" s="964"/>
      <c r="AAF3" s="964"/>
      <c r="AAG3" s="964"/>
      <c r="AAH3" s="964"/>
      <c r="AAI3" s="964"/>
      <c r="AAJ3" s="964"/>
      <c r="AAK3" s="964"/>
      <c r="AAL3" s="964"/>
      <c r="AAM3" s="964"/>
      <c r="AAN3" s="964"/>
      <c r="AAO3" s="964"/>
      <c r="AAP3" s="964"/>
      <c r="AAQ3" s="964"/>
      <c r="AAR3" s="964"/>
      <c r="AAS3" s="964"/>
      <c r="AAT3" s="964"/>
      <c r="AAU3" s="964"/>
      <c r="AAV3" s="964"/>
      <c r="AAW3" s="964"/>
      <c r="AAX3" s="964"/>
      <c r="AAY3" s="964"/>
      <c r="AAZ3" s="964"/>
      <c r="ABA3" s="964"/>
      <c r="ABB3" s="964"/>
      <c r="ABC3" s="964"/>
      <c r="ABD3" s="964"/>
      <c r="ABE3" s="964"/>
      <c r="ABF3" s="964"/>
      <c r="ABG3" s="964"/>
      <c r="ABH3" s="964"/>
      <c r="ABI3" s="964"/>
      <c r="ABJ3" s="964"/>
      <c r="ABK3" s="964"/>
      <c r="ABL3" s="964"/>
      <c r="ABM3" s="964"/>
      <c r="ABN3" s="964"/>
      <c r="ABO3" s="964"/>
      <c r="ABP3" s="964"/>
      <c r="ABQ3" s="964"/>
      <c r="ABR3" s="964"/>
      <c r="ABS3" s="964"/>
      <c r="ABT3" s="964"/>
      <c r="ABU3" s="964"/>
      <c r="ABV3" s="964"/>
      <c r="ABW3" s="964"/>
      <c r="ABX3" s="964"/>
      <c r="ABY3" s="964"/>
      <c r="ABZ3" s="964"/>
      <c r="ACA3" s="964"/>
      <c r="ACB3" s="964"/>
      <c r="ACC3" s="964"/>
      <c r="ACD3" s="964"/>
      <c r="ACE3" s="964"/>
      <c r="ACF3" s="964"/>
      <c r="ACG3" s="964"/>
      <c r="ACH3" s="964"/>
      <c r="ACI3" s="964"/>
      <c r="ACJ3" s="964"/>
      <c r="ACK3" s="964"/>
      <c r="ACL3" s="964"/>
      <c r="ACM3" s="964"/>
      <c r="ACN3" s="964"/>
      <c r="ACO3" s="964"/>
      <c r="ACP3" s="964"/>
      <c r="ACQ3" s="964"/>
      <c r="ACR3" s="964"/>
      <c r="ACS3" s="964"/>
      <c r="ACT3" s="964"/>
      <c r="ACU3" s="964"/>
      <c r="ACV3" s="964"/>
      <c r="ACW3" s="964"/>
      <c r="ACX3" s="964"/>
      <c r="ACY3" s="964"/>
      <c r="ACZ3" s="964"/>
      <c r="ADA3" s="964"/>
      <c r="ADB3" s="964"/>
      <c r="ADC3" s="964"/>
      <c r="ADD3" s="964"/>
      <c r="ADE3" s="964"/>
      <c r="ADF3" s="964"/>
      <c r="ADG3" s="964"/>
      <c r="ADH3" s="964"/>
      <c r="ADI3" s="964"/>
      <c r="ADJ3" s="964"/>
      <c r="ADK3" s="964"/>
      <c r="ADL3" s="964"/>
      <c r="ADM3" s="964"/>
      <c r="ADN3" s="964"/>
      <c r="ADO3" s="964"/>
      <c r="ADP3" s="964"/>
      <c r="ADQ3" s="964"/>
      <c r="ADR3" s="964"/>
      <c r="ADS3" s="964"/>
      <c r="ADT3" s="964"/>
      <c r="ADU3" s="964"/>
      <c r="ADV3" s="964"/>
      <c r="ADW3" s="964"/>
      <c r="ADX3" s="964"/>
      <c r="ADY3" s="964"/>
      <c r="ADZ3" s="964"/>
      <c r="AEA3" s="964"/>
      <c r="AEB3" s="964"/>
      <c r="AEC3" s="964"/>
      <c r="AED3" s="964"/>
      <c r="AEE3" s="964"/>
      <c r="AEF3" s="964"/>
      <c r="AEG3" s="964"/>
      <c r="AEH3" s="964"/>
      <c r="AEI3" s="964"/>
      <c r="AEJ3" s="964"/>
      <c r="AEK3" s="964"/>
      <c r="AEL3" s="964"/>
      <c r="AEM3" s="964"/>
      <c r="AEN3" s="964"/>
      <c r="AEO3" s="964"/>
      <c r="AEP3" s="964"/>
      <c r="AEQ3" s="964"/>
      <c r="AER3" s="964"/>
      <c r="AES3" s="964"/>
      <c r="AET3" s="964"/>
      <c r="AEU3" s="964"/>
      <c r="AEV3" s="964"/>
      <c r="AEW3" s="964"/>
      <c r="AEX3" s="964"/>
      <c r="AEY3" s="964"/>
      <c r="AEZ3" s="964"/>
      <c r="AFA3" s="964"/>
      <c r="AFB3" s="964"/>
      <c r="AFC3" s="964"/>
      <c r="AFD3" s="964"/>
      <c r="AFE3" s="964"/>
      <c r="AFF3" s="964"/>
      <c r="AFG3" s="964"/>
      <c r="AFH3" s="964"/>
      <c r="AFI3" s="964"/>
      <c r="AFJ3" s="964"/>
      <c r="AFK3" s="964"/>
      <c r="AFL3" s="964"/>
      <c r="AFM3" s="964"/>
      <c r="AFN3" s="964"/>
      <c r="AFO3" s="964"/>
      <c r="AFP3" s="964"/>
      <c r="AFQ3" s="964"/>
      <c r="AFR3" s="964"/>
      <c r="AFS3" s="964"/>
      <c r="AFT3" s="964"/>
      <c r="AFU3" s="964"/>
      <c r="AFV3" s="964"/>
      <c r="AFW3" s="964"/>
      <c r="AFX3" s="964"/>
      <c r="AFY3" s="964"/>
      <c r="AFZ3" s="964"/>
      <c r="AGA3" s="964"/>
      <c r="AGB3" s="964"/>
      <c r="AGC3" s="964"/>
      <c r="AGD3" s="964"/>
      <c r="AGE3" s="964"/>
      <c r="AGF3" s="964"/>
      <c r="AGG3" s="964"/>
      <c r="AGH3" s="964"/>
      <c r="AGI3" s="964"/>
      <c r="AGJ3" s="964"/>
      <c r="AGK3" s="964"/>
      <c r="AGL3" s="964"/>
      <c r="AGM3" s="964"/>
      <c r="AGN3" s="964"/>
      <c r="AGO3" s="964"/>
      <c r="AGP3" s="964"/>
      <c r="AGQ3" s="964"/>
      <c r="AGR3" s="964"/>
      <c r="AGS3" s="964"/>
      <c r="AGT3" s="964"/>
      <c r="AGU3" s="964"/>
      <c r="AGV3" s="964"/>
      <c r="AGW3" s="964"/>
      <c r="AGX3" s="964"/>
      <c r="AGY3" s="964"/>
      <c r="AGZ3" s="964"/>
      <c r="AHA3" s="964"/>
      <c r="AHB3" s="964"/>
      <c r="AHC3" s="964"/>
      <c r="AHD3" s="964"/>
      <c r="AHE3" s="964"/>
      <c r="AHF3" s="964"/>
      <c r="AHG3" s="964"/>
      <c r="AHH3" s="964"/>
      <c r="AHI3" s="964"/>
      <c r="AHJ3" s="964"/>
      <c r="AHK3" s="964"/>
      <c r="AHL3" s="964"/>
      <c r="AHM3" s="964"/>
      <c r="AHN3" s="964"/>
      <c r="AHO3" s="964"/>
      <c r="AHP3" s="964"/>
      <c r="AHQ3" s="964"/>
      <c r="AHR3" s="964"/>
      <c r="AHS3" s="964"/>
      <c r="AHT3" s="964"/>
      <c r="AHU3" s="964"/>
      <c r="AHV3" s="964"/>
      <c r="AHW3" s="964"/>
      <c r="AHX3" s="964"/>
      <c r="AHY3" s="964"/>
      <c r="AHZ3" s="964"/>
      <c r="AIA3" s="964"/>
      <c r="AIB3" s="964"/>
      <c r="AIC3" s="964"/>
      <c r="AID3" s="964"/>
      <c r="AIE3" s="964"/>
      <c r="AIF3" s="964"/>
      <c r="AIG3" s="964"/>
      <c r="AIH3" s="964"/>
      <c r="AII3" s="964"/>
      <c r="AIJ3" s="964"/>
      <c r="AIK3" s="964"/>
      <c r="AIL3" s="964"/>
      <c r="AIM3" s="964"/>
      <c r="AIN3" s="964"/>
      <c r="AIO3" s="964"/>
      <c r="AIP3" s="964"/>
      <c r="AIQ3" s="964"/>
      <c r="AIR3" s="964"/>
      <c r="AIS3" s="964"/>
      <c r="AIT3" s="964"/>
      <c r="AIU3" s="964"/>
      <c r="AIV3" s="964"/>
      <c r="AIW3" s="964"/>
      <c r="AIX3" s="964"/>
      <c r="AIY3" s="964"/>
      <c r="AIZ3" s="964"/>
      <c r="AJA3" s="964"/>
      <c r="AJB3" s="964"/>
      <c r="AJC3" s="964"/>
      <c r="AJD3" s="964"/>
      <c r="AJE3" s="964"/>
      <c r="AJF3" s="964"/>
      <c r="AJG3" s="964"/>
      <c r="AJH3" s="964"/>
      <c r="AJI3" s="964"/>
      <c r="AJJ3" s="964"/>
      <c r="AJK3" s="964"/>
      <c r="AJL3" s="964"/>
      <c r="AJM3" s="964"/>
      <c r="AJN3" s="964"/>
      <c r="AJO3" s="964"/>
      <c r="AJP3" s="964"/>
      <c r="AJQ3" s="964"/>
      <c r="AJR3" s="964"/>
      <c r="AJS3" s="964"/>
      <c r="AJT3" s="964"/>
      <c r="AJU3" s="964"/>
      <c r="AJV3" s="964"/>
      <c r="AJW3" s="964"/>
      <c r="AJX3" s="964"/>
      <c r="AJY3" s="964"/>
      <c r="AJZ3" s="964"/>
      <c r="AKA3" s="964"/>
      <c r="AKB3" s="964"/>
      <c r="AKC3" s="964"/>
      <c r="AKD3" s="964"/>
      <c r="AKE3" s="964"/>
      <c r="AKF3" s="964"/>
      <c r="AKG3" s="964"/>
      <c r="AKH3" s="964"/>
      <c r="AKI3" s="964"/>
      <c r="AKJ3" s="964"/>
      <c r="AKK3" s="964"/>
      <c r="AKL3" s="964"/>
      <c r="AKM3" s="964"/>
      <c r="AKN3" s="964"/>
      <c r="AKO3" s="964"/>
      <c r="AKP3" s="964"/>
      <c r="AKQ3" s="964"/>
      <c r="AKR3" s="964"/>
      <c r="AKS3" s="964"/>
      <c r="AKT3" s="964"/>
      <c r="AKU3" s="964"/>
      <c r="AKV3" s="964"/>
      <c r="AKW3" s="964"/>
      <c r="AKX3" s="964"/>
      <c r="AKY3" s="964"/>
      <c r="AKZ3" s="964"/>
      <c r="ALA3" s="964"/>
      <c r="ALB3" s="964"/>
      <c r="ALC3" s="964"/>
      <c r="ALD3" s="964"/>
      <c r="ALE3" s="964"/>
      <c r="ALF3" s="964"/>
      <c r="ALG3" s="964"/>
      <c r="ALH3" s="964"/>
      <c r="ALI3" s="964"/>
      <c r="ALJ3" s="964"/>
      <c r="ALK3" s="964"/>
      <c r="ALL3" s="964"/>
      <c r="ALM3" s="964"/>
      <c r="ALN3" s="964"/>
      <c r="ALO3" s="964"/>
      <c r="ALP3" s="964"/>
      <c r="ALQ3" s="964"/>
      <c r="ALR3" s="964"/>
      <c r="ALS3" s="964"/>
      <c r="ALT3" s="964"/>
      <c r="ALU3" s="964"/>
      <c r="ALV3" s="964"/>
      <c r="ALW3" s="964"/>
      <c r="ALX3" s="964"/>
      <c r="ALY3" s="964"/>
      <c r="ALZ3" s="964"/>
      <c r="AMA3" s="964"/>
      <c r="AMB3" s="964"/>
      <c r="AMC3" s="964"/>
      <c r="AMD3" s="964"/>
      <c r="AME3" s="964"/>
      <c r="AMF3" s="964"/>
      <c r="AMG3" s="964"/>
      <c r="AMH3" s="964"/>
      <c r="AMI3" s="964"/>
      <c r="AMJ3" s="964"/>
      <c r="AMK3" s="964"/>
      <c r="AML3" s="964"/>
      <c r="AMM3" s="964"/>
      <c r="AMN3" s="964"/>
      <c r="AMO3" s="964"/>
      <c r="AMP3" s="964"/>
      <c r="AMQ3" s="964"/>
      <c r="AMR3" s="964"/>
      <c r="AMS3" s="964"/>
      <c r="AMT3" s="964"/>
      <c r="AMU3" s="964"/>
      <c r="AMV3" s="964"/>
      <c r="AMW3" s="964"/>
      <c r="AMX3" s="964"/>
      <c r="AMY3" s="964"/>
      <c r="AMZ3" s="964"/>
      <c r="ANA3" s="964"/>
      <c r="ANB3" s="964"/>
      <c r="ANC3" s="964"/>
      <c r="AND3" s="964"/>
      <c r="ANE3" s="964"/>
      <c r="ANF3" s="964"/>
      <c r="ANG3" s="964"/>
      <c r="ANH3" s="964"/>
      <c r="ANI3" s="964"/>
      <c r="ANJ3" s="964"/>
      <c r="ANK3" s="964"/>
      <c r="ANL3" s="964"/>
      <c r="ANM3" s="964"/>
      <c r="ANN3" s="964"/>
      <c r="ANO3" s="964"/>
      <c r="ANP3" s="964"/>
      <c r="ANQ3" s="964"/>
      <c r="ANR3" s="964"/>
      <c r="ANS3" s="964"/>
      <c r="ANT3" s="964"/>
      <c r="ANU3" s="964"/>
      <c r="ANV3" s="964"/>
      <c r="ANW3" s="964"/>
      <c r="ANX3" s="964"/>
      <c r="ANY3" s="964"/>
      <c r="ANZ3" s="964"/>
      <c r="AOA3" s="964"/>
      <c r="AOB3" s="964"/>
      <c r="AOC3" s="964"/>
      <c r="AOD3" s="964"/>
      <c r="AOE3" s="964"/>
      <c r="AOF3" s="964"/>
      <c r="AOG3" s="964"/>
      <c r="AOH3" s="964"/>
      <c r="AOI3" s="964"/>
      <c r="AOJ3" s="964"/>
      <c r="AOK3" s="964"/>
      <c r="AOL3" s="964"/>
      <c r="AOM3" s="964"/>
      <c r="AON3" s="964"/>
      <c r="AOO3" s="964"/>
      <c r="AOP3" s="964"/>
      <c r="AOQ3" s="964"/>
      <c r="AOR3" s="964"/>
      <c r="AOS3" s="964"/>
      <c r="AOT3" s="964"/>
      <c r="AOU3" s="964"/>
      <c r="AOV3" s="964"/>
      <c r="AOW3" s="964"/>
      <c r="AOX3" s="964"/>
      <c r="AOY3" s="964"/>
      <c r="AOZ3" s="964"/>
      <c r="APA3" s="964"/>
      <c r="APB3" s="964"/>
      <c r="APC3" s="964"/>
      <c r="APD3" s="964"/>
      <c r="APE3" s="964"/>
      <c r="APF3" s="964"/>
      <c r="APG3" s="964"/>
      <c r="APH3" s="964"/>
      <c r="API3" s="964"/>
      <c r="APJ3" s="964"/>
      <c r="APK3" s="964"/>
      <c r="APL3" s="964"/>
      <c r="APM3" s="964"/>
      <c r="APN3" s="964"/>
      <c r="APO3" s="964"/>
      <c r="APP3" s="964"/>
      <c r="APQ3" s="964"/>
      <c r="APR3" s="964"/>
      <c r="APS3" s="964"/>
      <c r="APT3" s="964"/>
      <c r="APU3" s="964"/>
      <c r="APV3" s="964"/>
      <c r="APW3" s="964"/>
      <c r="APX3" s="964"/>
      <c r="APY3" s="964"/>
      <c r="APZ3" s="964"/>
      <c r="AQA3" s="964"/>
      <c r="AQB3" s="964"/>
      <c r="AQC3" s="964"/>
      <c r="AQD3" s="964"/>
      <c r="AQE3" s="964"/>
      <c r="AQF3" s="964"/>
      <c r="AQG3" s="964"/>
      <c r="AQH3" s="964"/>
      <c r="AQI3" s="964"/>
      <c r="AQJ3" s="964"/>
      <c r="AQK3" s="964"/>
      <c r="AQL3" s="964"/>
      <c r="AQM3" s="964"/>
      <c r="AQN3" s="964"/>
      <c r="AQO3" s="964"/>
      <c r="AQP3" s="964"/>
      <c r="AQQ3" s="964"/>
      <c r="AQR3" s="964"/>
      <c r="AQS3" s="964"/>
      <c r="AQT3" s="964"/>
      <c r="AQU3" s="964"/>
      <c r="AQV3" s="964"/>
      <c r="AQW3" s="964"/>
      <c r="AQX3" s="964"/>
      <c r="AQY3" s="964"/>
      <c r="AQZ3" s="964"/>
      <c r="ARA3" s="964"/>
      <c r="ARB3" s="964"/>
      <c r="ARC3" s="964"/>
      <c r="ARD3" s="964"/>
      <c r="ARE3" s="964"/>
      <c r="ARF3" s="964"/>
      <c r="ARG3" s="964"/>
      <c r="ARH3" s="964"/>
      <c r="ARI3" s="964"/>
      <c r="ARJ3" s="964"/>
      <c r="ARK3" s="964"/>
      <c r="ARL3" s="964"/>
      <c r="ARM3" s="964"/>
      <c r="ARN3" s="964"/>
      <c r="ARO3" s="964"/>
      <c r="ARP3" s="964"/>
      <c r="ARQ3" s="964"/>
      <c r="ARR3" s="964"/>
      <c r="ARS3" s="964"/>
      <c r="ART3" s="964"/>
      <c r="ARU3" s="964"/>
      <c r="ARV3" s="964"/>
      <c r="ARW3" s="964"/>
      <c r="ARX3" s="964"/>
      <c r="ARY3" s="964"/>
      <c r="ARZ3" s="964"/>
      <c r="ASA3" s="964"/>
      <c r="ASB3" s="964"/>
      <c r="ASC3" s="964"/>
      <c r="ASD3" s="964"/>
      <c r="ASE3" s="964"/>
      <c r="ASF3" s="964"/>
      <c r="ASG3" s="964"/>
      <c r="ASH3" s="964"/>
      <c r="ASI3" s="964"/>
      <c r="ASJ3" s="964"/>
      <c r="ASK3" s="964"/>
      <c r="ASL3" s="964"/>
      <c r="ASM3" s="964"/>
      <c r="ASN3" s="964"/>
      <c r="ASO3" s="964"/>
      <c r="ASP3" s="964"/>
      <c r="ASQ3" s="964"/>
      <c r="ASR3" s="964"/>
      <c r="ASS3" s="964"/>
      <c r="AST3" s="964"/>
      <c r="ASU3" s="964"/>
      <c r="ASV3" s="964"/>
      <c r="ASW3" s="964"/>
      <c r="ASX3" s="964"/>
      <c r="ASY3" s="964"/>
      <c r="ASZ3" s="964"/>
      <c r="ATA3" s="964"/>
      <c r="ATB3" s="964"/>
      <c r="ATC3" s="964"/>
      <c r="ATD3" s="964"/>
      <c r="ATE3" s="964"/>
      <c r="ATF3" s="964"/>
      <c r="ATG3" s="964"/>
      <c r="ATH3" s="964"/>
      <c r="ATI3" s="964"/>
      <c r="ATJ3" s="964"/>
      <c r="ATK3" s="964"/>
      <c r="ATL3" s="964"/>
      <c r="ATM3" s="964"/>
      <c r="ATN3" s="964"/>
      <c r="ATO3" s="964"/>
      <c r="ATP3" s="964"/>
      <c r="ATQ3" s="964"/>
      <c r="ATR3" s="964"/>
      <c r="ATS3" s="964"/>
      <c r="ATT3" s="964"/>
      <c r="ATU3" s="964"/>
      <c r="ATV3" s="964"/>
      <c r="ATW3" s="964"/>
      <c r="ATX3" s="964"/>
      <c r="ATY3" s="964"/>
      <c r="ATZ3" s="964"/>
      <c r="AUA3" s="964"/>
      <c r="AUB3" s="964"/>
      <c r="AUC3" s="964"/>
      <c r="AUD3" s="964"/>
      <c r="AUE3" s="964"/>
      <c r="AUF3" s="964"/>
      <c r="AUG3" s="964"/>
      <c r="AUH3" s="964"/>
      <c r="AUI3" s="964"/>
      <c r="AUJ3" s="964"/>
      <c r="AUK3" s="964"/>
      <c r="AUL3" s="964"/>
      <c r="AUM3" s="964"/>
      <c r="AUN3" s="964"/>
      <c r="AUO3" s="964"/>
      <c r="AUP3" s="964"/>
      <c r="AUQ3" s="964"/>
      <c r="AUR3" s="964"/>
      <c r="AUS3" s="964"/>
      <c r="AUT3" s="964"/>
      <c r="AUU3" s="964"/>
      <c r="AUV3" s="964"/>
      <c r="AUW3" s="964"/>
      <c r="AUX3" s="964"/>
      <c r="AUY3" s="964"/>
      <c r="AUZ3" s="964"/>
      <c r="AVA3" s="964"/>
      <c r="AVB3" s="964"/>
      <c r="AVC3" s="964"/>
      <c r="AVD3" s="964"/>
      <c r="AVE3" s="964"/>
      <c r="AVF3" s="964"/>
      <c r="AVG3" s="964"/>
      <c r="AVH3" s="964"/>
      <c r="AVI3" s="964"/>
      <c r="AVJ3" s="964"/>
      <c r="AVK3" s="964"/>
      <c r="AVL3" s="964"/>
      <c r="AVM3" s="964"/>
      <c r="AVN3" s="964"/>
      <c r="AVO3" s="964"/>
      <c r="AVP3" s="964"/>
      <c r="AVQ3" s="964"/>
      <c r="AVR3" s="964"/>
      <c r="AVS3" s="964"/>
      <c r="AVT3" s="964"/>
      <c r="AVU3" s="964"/>
      <c r="AVV3" s="964"/>
      <c r="AVW3" s="964"/>
      <c r="AVX3" s="964"/>
      <c r="AVY3" s="964"/>
      <c r="AVZ3" s="964"/>
      <c r="AWA3" s="964"/>
      <c r="AWB3" s="964"/>
      <c r="AWC3" s="964"/>
      <c r="AWD3" s="964"/>
      <c r="AWE3" s="964"/>
      <c r="AWF3" s="964"/>
      <c r="AWG3" s="964"/>
      <c r="AWH3" s="964"/>
      <c r="AWI3" s="964"/>
      <c r="AWJ3" s="964"/>
      <c r="AWK3" s="964"/>
      <c r="AWL3" s="964"/>
      <c r="AWM3" s="964"/>
      <c r="AWN3" s="964"/>
      <c r="AWO3" s="964"/>
      <c r="AWP3" s="964"/>
      <c r="AWQ3" s="964"/>
      <c r="AWR3" s="964"/>
      <c r="AWS3" s="964"/>
      <c r="AWT3" s="964"/>
      <c r="AWU3" s="964"/>
      <c r="AWV3" s="964"/>
      <c r="AWW3" s="964"/>
      <c r="AWX3" s="964"/>
      <c r="AWY3" s="964"/>
      <c r="AWZ3" s="964"/>
      <c r="AXA3" s="964"/>
      <c r="AXB3" s="964"/>
      <c r="AXC3" s="964"/>
      <c r="AXD3" s="964"/>
      <c r="AXE3" s="964"/>
      <c r="AXF3" s="964"/>
      <c r="AXG3" s="964"/>
      <c r="AXH3" s="964"/>
      <c r="AXI3" s="964"/>
      <c r="AXJ3" s="964"/>
      <c r="AXK3" s="964"/>
      <c r="AXL3" s="964"/>
      <c r="AXM3" s="964"/>
      <c r="AXN3" s="964"/>
      <c r="AXO3" s="964"/>
      <c r="AXP3" s="964"/>
      <c r="AXQ3" s="964"/>
      <c r="AXR3" s="964"/>
      <c r="AXS3" s="964"/>
      <c r="AXT3" s="964"/>
      <c r="AXU3" s="964"/>
      <c r="AXV3" s="964"/>
      <c r="AXW3" s="964"/>
      <c r="AXX3" s="964"/>
      <c r="AXY3" s="964"/>
      <c r="AXZ3" s="964"/>
      <c r="AYA3" s="964"/>
      <c r="AYB3" s="964"/>
      <c r="AYC3" s="964"/>
      <c r="AYD3" s="964"/>
      <c r="AYE3" s="964"/>
      <c r="AYF3" s="964"/>
      <c r="AYG3" s="964"/>
      <c r="AYH3" s="964"/>
      <c r="AYI3" s="964"/>
      <c r="AYJ3" s="964"/>
      <c r="AYK3" s="964"/>
      <c r="AYL3" s="964"/>
      <c r="AYM3" s="964"/>
      <c r="AYN3" s="964"/>
      <c r="AYO3" s="964"/>
      <c r="AYP3" s="964"/>
      <c r="AYQ3" s="964"/>
      <c r="AYR3" s="964"/>
      <c r="AYS3" s="964"/>
      <c r="AYT3" s="964"/>
      <c r="AYU3" s="964"/>
      <c r="AYV3" s="964"/>
      <c r="AYW3" s="964"/>
      <c r="AYX3" s="964"/>
      <c r="AYY3" s="964"/>
      <c r="AYZ3" s="964"/>
      <c r="AZA3" s="964"/>
      <c r="AZB3" s="964"/>
      <c r="AZC3" s="964"/>
      <c r="AZD3" s="964"/>
      <c r="AZE3" s="964"/>
      <c r="AZF3" s="964"/>
      <c r="AZG3" s="964"/>
      <c r="AZH3" s="964"/>
      <c r="AZI3" s="964"/>
      <c r="AZJ3" s="964"/>
      <c r="AZK3" s="964"/>
      <c r="AZL3" s="964"/>
      <c r="AZM3" s="964"/>
      <c r="AZN3" s="964"/>
      <c r="AZO3" s="964"/>
      <c r="AZP3" s="964"/>
      <c r="AZQ3" s="964"/>
      <c r="AZR3" s="964"/>
      <c r="AZS3" s="964"/>
      <c r="AZT3" s="964"/>
      <c r="AZU3" s="964"/>
      <c r="AZV3" s="964"/>
      <c r="AZW3" s="964"/>
      <c r="AZX3" s="964"/>
      <c r="AZY3" s="964"/>
      <c r="AZZ3" s="964"/>
      <c r="BAA3" s="964"/>
      <c r="BAB3" s="964"/>
      <c r="BAC3" s="964"/>
      <c r="BAD3" s="964"/>
      <c r="BAE3" s="964"/>
      <c r="BAF3" s="964"/>
      <c r="BAG3" s="964"/>
      <c r="BAH3" s="964"/>
      <c r="BAI3" s="964"/>
      <c r="BAJ3" s="964"/>
      <c r="BAK3" s="964"/>
      <c r="BAL3" s="964"/>
      <c r="BAM3" s="964"/>
      <c r="BAN3" s="964"/>
      <c r="BAO3" s="964"/>
      <c r="BAP3" s="964"/>
      <c r="BAQ3" s="964"/>
      <c r="BAR3" s="964"/>
      <c r="BAS3" s="964"/>
      <c r="BAT3" s="964"/>
      <c r="BAU3" s="964"/>
      <c r="BAV3" s="964"/>
      <c r="BAW3" s="964"/>
      <c r="BAX3" s="964"/>
      <c r="BAY3" s="964"/>
      <c r="BAZ3" s="964"/>
      <c r="BBA3" s="964"/>
      <c r="BBB3" s="964"/>
      <c r="BBC3" s="964"/>
      <c r="BBD3" s="964"/>
      <c r="BBE3" s="964"/>
      <c r="BBF3" s="964"/>
      <c r="BBG3" s="964"/>
      <c r="BBH3" s="964"/>
      <c r="BBI3" s="964"/>
      <c r="BBJ3" s="964"/>
      <c r="BBK3" s="964"/>
      <c r="BBL3" s="964"/>
      <c r="BBM3" s="964"/>
      <c r="BBN3" s="964"/>
      <c r="BBO3" s="964"/>
      <c r="BBP3" s="964"/>
      <c r="BBQ3" s="964"/>
      <c r="BBR3" s="964"/>
      <c r="BBS3" s="964"/>
      <c r="BBT3" s="964"/>
      <c r="BBU3" s="964"/>
      <c r="BBV3" s="964"/>
      <c r="BBW3" s="964"/>
      <c r="BBX3" s="964"/>
      <c r="BBY3" s="964"/>
      <c r="BBZ3" s="964"/>
      <c r="BCA3" s="964"/>
      <c r="BCB3" s="964"/>
      <c r="BCC3" s="964"/>
      <c r="BCD3" s="964"/>
      <c r="BCE3" s="964"/>
      <c r="BCF3" s="964"/>
      <c r="BCG3" s="964"/>
      <c r="BCH3" s="964"/>
      <c r="BCI3" s="964"/>
      <c r="BCJ3" s="964"/>
      <c r="BCK3" s="964"/>
      <c r="BCL3" s="964"/>
      <c r="BCM3" s="964"/>
      <c r="BCN3" s="964"/>
      <c r="BCO3" s="964"/>
      <c r="BCP3" s="964"/>
      <c r="BCQ3" s="964"/>
      <c r="BCR3" s="964"/>
      <c r="BCS3" s="964"/>
      <c r="BCT3" s="964"/>
      <c r="BCU3" s="964"/>
      <c r="BCV3" s="964"/>
      <c r="BCW3" s="964"/>
      <c r="BCX3" s="964"/>
      <c r="BCY3" s="964"/>
      <c r="BCZ3" s="964"/>
      <c r="BDA3" s="964"/>
      <c r="BDB3" s="964"/>
      <c r="BDC3" s="964"/>
      <c r="BDD3" s="964"/>
      <c r="BDE3" s="964"/>
      <c r="BDF3" s="964"/>
      <c r="BDG3" s="964"/>
      <c r="BDH3" s="964"/>
      <c r="BDI3" s="964"/>
      <c r="BDJ3" s="964"/>
      <c r="BDK3" s="964"/>
      <c r="BDL3" s="964"/>
      <c r="BDM3" s="964"/>
      <c r="BDN3" s="964"/>
      <c r="BDO3" s="964"/>
      <c r="BDP3" s="964"/>
      <c r="BDQ3" s="964"/>
      <c r="BDR3" s="964"/>
      <c r="BDS3" s="964"/>
      <c r="BDT3" s="964"/>
      <c r="BDU3" s="964"/>
      <c r="BDV3" s="964"/>
      <c r="BDW3" s="964"/>
      <c r="BDX3" s="964"/>
      <c r="BDY3" s="964"/>
      <c r="BDZ3" s="964"/>
      <c r="BEA3" s="964"/>
      <c r="BEB3" s="964"/>
      <c r="BEC3" s="964"/>
      <c r="BED3" s="964"/>
      <c r="BEE3" s="964"/>
      <c r="BEF3" s="964"/>
      <c r="BEG3" s="964"/>
      <c r="BEH3" s="964"/>
      <c r="BEI3" s="964"/>
      <c r="BEJ3" s="964"/>
      <c r="BEK3" s="964"/>
      <c r="BEL3" s="964"/>
      <c r="BEM3" s="964"/>
      <c r="BEN3" s="964"/>
      <c r="BEO3" s="964"/>
      <c r="BEP3" s="964"/>
      <c r="BEQ3" s="964"/>
      <c r="BER3" s="964"/>
      <c r="BES3" s="964"/>
      <c r="BET3" s="964"/>
      <c r="BEU3" s="964"/>
      <c r="BEV3" s="964"/>
      <c r="BEW3" s="964"/>
      <c r="BEX3" s="964"/>
      <c r="BEY3" s="964"/>
      <c r="BEZ3" s="964"/>
      <c r="BFA3" s="964"/>
      <c r="BFB3" s="964"/>
      <c r="BFC3" s="964"/>
      <c r="BFD3" s="964"/>
      <c r="BFE3" s="964"/>
      <c r="BFF3" s="964"/>
      <c r="BFG3" s="964"/>
      <c r="BFH3" s="964"/>
      <c r="BFI3" s="964"/>
      <c r="BFJ3" s="964"/>
      <c r="BFK3" s="964"/>
      <c r="BFL3" s="964"/>
      <c r="BFM3" s="964"/>
      <c r="BFN3" s="964"/>
      <c r="BFO3" s="964"/>
      <c r="BFP3" s="964"/>
      <c r="BFQ3" s="964"/>
      <c r="BFR3" s="964"/>
      <c r="BFS3" s="964"/>
      <c r="BFT3" s="964"/>
      <c r="BFU3" s="964"/>
      <c r="BFV3" s="964"/>
      <c r="BFW3" s="964"/>
      <c r="BFX3" s="964"/>
      <c r="BFY3" s="964"/>
      <c r="BFZ3" s="964"/>
      <c r="BGA3" s="964"/>
      <c r="BGB3" s="964"/>
      <c r="BGC3" s="964"/>
      <c r="BGD3" s="964"/>
      <c r="BGE3" s="964"/>
      <c r="BGF3" s="964"/>
      <c r="BGG3" s="964"/>
      <c r="BGH3" s="964"/>
      <c r="BGI3" s="964"/>
      <c r="BGJ3" s="964"/>
      <c r="BGK3" s="964"/>
      <c r="BGL3" s="964"/>
      <c r="BGM3" s="964"/>
      <c r="BGN3" s="964"/>
      <c r="BGO3" s="964"/>
      <c r="BGP3" s="964"/>
      <c r="BGQ3" s="964"/>
      <c r="BGR3" s="964"/>
      <c r="BGS3" s="964"/>
      <c r="BGT3" s="964"/>
      <c r="BGU3" s="964"/>
      <c r="BGV3" s="964"/>
      <c r="BGW3" s="964"/>
      <c r="BGX3" s="964"/>
      <c r="BGY3" s="964"/>
      <c r="BGZ3" s="964"/>
      <c r="BHA3" s="964"/>
      <c r="BHB3" s="964"/>
      <c r="BHC3" s="964"/>
      <c r="BHD3" s="964"/>
      <c r="BHE3" s="964"/>
      <c r="BHF3" s="964"/>
      <c r="BHG3" s="964"/>
      <c r="BHH3" s="964"/>
      <c r="BHI3" s="964"/>
      <c r="BHJ3" s="964"/>
      <c r="BHK3" s="964"/>
      <c r="BHL3" s="964"/>
      <c r="BHM3" s="964"/>
      <c r="BHN3" s="964"/>
      <c r="BHO3" s="964"/>
      <c r="BHP3" s="964"/>
      <c r="BHQ3" s="964"/>
      <c r="BHR3" s="964"/>
      <c r="BHS3" s="964"/>
      <c r="BHT3" s="964"/>
      <c r="BHU3" s="964"/>
      <c r="BHV3" s="964"/>
      <c r="BHW3" s="964"/>
      <c r="BHX3" s="964"/>
      <c r="BHY3" s="964"/>
      <c r="BHZ3" s="964"/>
      <c r="BIA3" s="964"/>
      <c r="BIB3" s="964"/>
      <c r="BIC3" s="964"/>
      <c r="BID3" s="964"/>
      <c r="BIE3" s="964"/>
      <c r="BIF3" s="964"/>
      <c r="BIG3" s="964"/>
      <c r="BIH3" s="964"/>
      <c r="BII3" s="964"/>
      <c r="BIJ3" s="964"/>
      <c r="BIK3" s="964"/>
      <c r="BIL3" s="964"/>
      <c r="BIM3" s="964"/>
      <c r="BIN3" s="964"/>
      <c r="BIO3" s="964"/>
      <c r="BIP3" s="964"/>
      <c r="BIQ3" s="964"/>
      <c r="BIR3" s="964"/>
      <c r="BIS3" s="964"/>
      <c r="BIT3" s="964"/>
      <c r="BIU3" s="964"/>
      <c r="BIV3" s="964"/>
      <c r="BIW3" s="964"/>
      <c r="BIX3" s="964"/>
      <c r="BIY3" s="964"/>
      <c r="BIZ3" s="964"/>
      <c r="BJA3" s="964"/>
      <c r="BJB3" s="964"/>
      <c r="BJC3" s="964"/>
      <c r="BJD3" s="964"/>
      <c r="BJE3" s="964"/>
      <c r="BJF3" s="964"/>
      <c r="BJG3" s="964"/>
      <c r="BJH3" s="964"/>
      <c r="BJI3" s="964"/>
      <c r="BJJ3" s="964"/>
      <c r="BJK3" s="964"/>
      <c r="BJL3" s="964"/>
      <c r="BJM3" s="964"/>
      <c r="BJN3" s="964"/>
      <c r="BJO3" s="964"/>
      <c r="BJP3" s="964"/>
      <c r="BJQ3" s="964"/>
      <c r="BJR3" s="964"/>
      <c r="BJS3" s="964"/>
      <c r="BJT3" s="964"/>
      <c r="BJU3" s="964"/>
      <c r="BJV3" s="964"/>
      <c r="BJW3" s="964"/>
      <c r="BJX3" s="964"/>
      <c r="BJY3" s="964"/>
      <c r="BJZ3" s="964"/>
      <c r="BKA3" s="964"/>
      <c r="BKB3" s="964"/>
      <c r="BKC3" s="964"/>
      <c r="BKD3" s="964"/>
      <c r="BKE3" s="964"/>
      <c r="BKF3" s="964"/>
      <c r="BKG3" s="964"/>
      <c r="BKH3" s="964"/>
      <c r="BKI3" s="964"/>
      <c r="BKJ3" s="964"/>
      <c r="BKK3" s="964"/>
      <c r="BKL3" s="964"/>
      <c r="BKM3" s="964"/>
      <c r="BKN3" s="964"/>
      <c r="BKO3" s="964"/>
      <c r="BKP3" s="964"/>
      <c r="BKQ3" s="964"/>
      <c r="BKR3" s="964"/>
      <c r="BKS3" s="964"/>
      <c r="BKT3" s="964"/>
      <c r="BKU3" s="964"/>
      <c r="BKV3" s="964"/>
      <c r="BKW3" s="964"/>
      <c r="BKX3" s="964"/>
      <c r="BKY3" s="964"/>
      <c r="BKZ3" s="964"/>
      <c r="BLA3" s="964"/>
      <c r="BLB3" s="964"/>
      <c r="BLC3" s="964"/>
      <c r="BLD3" s="964"/>
      <c r="BLE3" s="964"/>
      <c r="BLF3" s="964"/>
      <c r="BLG3" s="964"/>
      <c r="BLH3" s="964"/>
      <c r="BLI3" s="964"/>
      <c r="BLJ3" s="964"/>
      <c r="BLK3" s="964"/>
      <c r="BLL3" s="964"/>
      <c r="BLM3" s="964"/>
      <c r="BLN3" s="964"/>
      <c r="BLO3" s="964"/>
      <c r="BLP3" s="964"/>
      <c r="BLQ3" s="964"/>
      <c r="BLR3" s="964"/>
      <c r="BLS3" s="964"/>
      <c r="BLT3" s="964"/>
      <c r="BLU3" s="964"/>
      <c r="BLV3" s="964"/>
      <c r="BLW3" s="964"/>
      <c r="BLX3" s="964"/>
      <c r="BLY3" s="964"/>
      <c r="BLZ3" s="964"/>
      <c r="BMA3" s="964"/>
      <c r="BMB3" s="964"/>
      <c r="BMC3" s="964"/>
      <c r="BMD3" s="964"/>
      <c r="BME3" s="964"/>
      <c r="BMF3" s="964"/>
      <c r="BMG3" s="964"/>
      <c r="BMH3" s="964"/>
      <c r="BMI3" s="964"/>
      <c r="BMJ3" s="964"/>
      <c r="BMK3" s="964"/>
      <c r="BML3" s="964"/>
      <c r="BMM3" s="964"/>
      <c r="BMN3" s="964"/>
      <c r="BMO3" s="964"/>
      <c r="BMP3" s="964"/>
      <c r="BMQ3" s="964"/>
      <c r="BMR3" s="964"/>
      <c r="BMS3" s="964"/>
      <c r="BMT3" s="964"/>
      <c r="BMU3" s="964"/>
      <c r="BMV3" s="964"/>
      <c r="BMW3" s="964"/>
      <c r="BMX3" s="964"/>
      <c r="BMY3" s="964"/>
      <c r="BMZ3" s="964"/>
      <c r="BNA3" s="964"/>
      <c r="BNB3" s="964"/>
      <c r="BNC3" s="964"/>
      <c r="BND3" s="964"/>
      <c r="BNE3" s="964"/>
      <c r="BNF3" s="964"/>
      <c r="BNG3" s="964"/>
      <c r="BNH3" s="964"/>
      <c r="BNI3" s="964"/>
      <c r="BNJ3" s="964"/>
      <c r="BNK3" s="964"/>
      <c r="BNL3" s="964"/>
      <c r="BNM3" s="964"/>
      <c r="BNN3" s="964"/>
      <c r="BNO3" s="964"/>
      <c r="BNP3" s="964"/>
      <c r="BNQ3" s="964"/>
      <c r="BNR3" s="964"/>
      <c r="BNS3" s="964"/>
      <c r="BNT3" s="964"/>
      <c r="BNU3" s="964"/>
      <c r="BNV3" s="964"/>
      <c r="BNW3" s="964"/>
      <c r="BNX3" s="964"/>
      <c r="BNY3" s="964"/>
      <c r="BNZ3" s="964"/>
      <c r="BOA3" s="964"/>
      <c r="BOB3" s="964"/>
      <c r="BOC3" s="964"/>
      <c r="BOD3" s="964"/>
      <c r="BOE3" s="964"/>
      <c r="BOF3" s="964"/>
      <c r="BOG3" s="964"/>
      <c r="BOH3" s="964"/>
      <c r="BOI3" s="964"/>
      <c r="BOJ3" s="964"/>
      <c r="BOK3" s="964"/>
      <c r="BOL3" s="964"/>
      <c r="BOM3" s="964"/>
      <c r="BON3" s="964"/>
      <c r="BOO3" s="964"/>
      <c r="BOP3" s="964"/>
      <c r="BOQ3" s="964"/>
      <c r="BOR3" s="964"/>
      <c r="BOS3" s="964"/>
      <c r="BOT3" s="964"/>
      <c r="BOU3" s="964"/>
      <c r="BOV3" s="964"/>
      <c r="BOW3" s="964"/>
      <c r="BOX3" s="964"/>
      <c r="BOY3" s="964"/>
      <c r="BOZ3" s="964"/>
      <c r="BPA3" s="964"/>
      <c r="BPB3" s="964"/>
      <c r="BPC3" s="964"/>
      <c r="BPD3" s="964"/>
      <c r="BPE3" s="964"/>
      <c r="BPF3" s="964"/>
      <c r="BPG3" s="964"/>
      <c r="BPH3" s="964"/>
      <c r="BPI3" s="964"/>
      <c r="BPJ3" s="964"/>
      <c r="BPK3" s="964"/>
      <c r="BPL3" s="964"/>
      <c r="BPM3" s="964"/>
      <c r="BPN3" s="964"/>
      <c r="BPO3" s="964"/>
      <c r="BPP3" s="964"/>
      <c r="BPQ3" s="964"/>
      <c r="BPR3" s="964"/>
      <c r="BPS3" s="964"/>
      <c r="BPT3" s="964"/>
      <c r="BPU3" s="964"/>
      <c r="BPV3" s="964"/>
      <c r="BPW3" s="964"/>
      <c r="BPX3" s="964"/>
      <c r="BPY3" s="964"/>
      <c r="BPZ3" s="964"/>
      <c r="BQA3" s="964"/>
      <c r="BQB3" s="964"/>
      <c r="BQC3" s="964"/>
      <c r="BQD3" s="964"/>
      <c r="BQE3" s="964"/>
      <c r="BQF3" s="964"/>
      <c r="BQG3" s="964"/>
      <c r="BQH3" s="964"/>
      <c r="BQI3" s="964"/>
      <c r="BQJ3" s="964"/>
      <c r="BQK3" s="964"/>
      <c r="BQL3" s="964"/>
      <c r="BQM3" s="964"/>
      <c r="BQN3" s="964"/>
      <c r="BQO3" s="964"/>
      <c r="BQP3" s="964"/>
      <c r="BQQ3" s="964"/>
      <c r="BQR3" s="964"/>
      <c r="BQS3" s="964"/>
      <c r="BQT3" s="964"/>
      <c r="BQU3" s="964"/>
      <c r="BQV3" s="964"/>
      <c r="BQW3" s="964"/>
      <c r="BQX3" s="964"/>
      <c r="BQY3" s="964"/>
      <c r="BQZ3" s="964"/>
      <c r="BRA3" s="964"/>
      <c r="BRB3" s="964"/>
      <c r="BRC3" s="964"/>
      <c r="BRD3" s="964"/>
      <c r="BRE3" s="964"/>
      <c r="BRF3" s="964"/>
      <c r="BRG3" s="964"/>
      <c r="BRH3" s="964"/>
      <c r="BRI3" s="964"/>
      <c r="BRJ3" s="964"/>
      <c r="BRK3" s="964"/>
      <c r="BRL3" s="964"/>
      <c r="BRM3" s="964"/>
      <c r="BRN3" s="964"/>
      <c r="BRO3" s="964"/>
      <c r="BRP3" s="964"/>
      <c r="BRQ3" s="964"/>
      <c r="BRR3" s="964"/>
      <c r="BRS3" s="964"/>
      <c r="BRT3" s="964"/>
      <c r="BRU3" s="964"/>
      <c r="BRV3" s="964"/>
      <c r="BRW3" s="964"/>
      <c r="BRX3" s="964"/>
      <c r="BRY3" s="964"/>
      <c r="BRZ3" s="964"/>
      <c r="BSA3" s="964"/>
      <c r="BSB3" s="964"/>
      <c r="BSC3" s="964"/>
      <c r="BSD3" s="964"/>
      <c r="BSE3" s="964"/>
      <c r="BSF3" s="964"/>
      <c r="BSG3" s="964"/>
      <c r="BSH3" s="964"/>
      <c r="BSI3" s="964"/>
      <c r="BSJ3" s="964"/>
      <c r="BSK3" s="964"/>
      <c r="BSL3" s="964"/>
      <c r="BSM3" s="964"/>
      <c r="BSN3" s="964"/>
      <c r="BSO3" s="964"/>
      <c r="BSP3" s="964"/>
      <c r="BSQ3" s="964"/>
      <c r="BSR3" s="964"/>
      <c r="BSS3" s="964"/>
      <c r="BST3" s="964"/>
      <c r="BSU3" s="964"/>
      <c r="BSV3" s="964"/>
      <c r="BSW3" s="964"/>
      <c r="BSX3" s="964"/>
      <c r="BSY3" s="964"/>
      <c r="BSZ3" s="964"/>
      <c r="BTA3" s="964"/>
      <c r="BTB3" s="964"/>
      <c r="BTC3" s="964"/>
      <c r="BTD3" s="964"/>
      <c r="BTE3" s="964"/>
      <c r="BTF3" s="964"/>
      <c r="BTG3" s="964"/>
      <c r="BTH3" s="964"/>
      <c r="BTI3" s="964"/>
      <c r="BTJ3" s="964"/>
      <c r="BTK3" s="964"/>
      <c r="BTL3" s="964"/>
      <c r="BTM3" s="964"/>
      <c r="BTN3" s="964"/>
      <c r="BTO3" s="964"/>
      <c r="BTP3" s="964"/>
      <c r="BTQ3" s="964"/>
      <c r="BTR3" s="964"/>
      <c r="BTS3" s="964"/>
      <c r="BTT3" s="964"/>
      <c r="BTU3" s="964"/>
      <c r="BTV3" s="964"/>
      <c r="BTW3" s="964"/>
      <c r="BTX3" s="964"/>
      <c r="BTY3" s="964"/>
      <c r="BTZ3" s="964"/>
      <c r="BUA3" s="964"/>
      <c r="BUB3" s="964"/>
      <c r="BUC3" s="964"/>
      <c r="BUD3" s="964"/>
      <c r="BUE3" s="964"/>
      <c r="BUF3" s="964"/>
      <c r="BUG3" s="964"/>
      <c r="BUH3" s="964"/>
      <c r="BUI3" s="964"/>
      <c r="BUJ3" s="964"/>
      <c r="BUK3" s="964"/>
      <c r="BUL3" s="964"/>
      <c r="BUM3" s="964"/>
      <c r="BUN3" s="964"/>
      <c r="BUO3" s="964"/>
      <c r="BUP3" s="964"/>
      <c r="BUQ3" s="964"/>
      <c r="BUR3" s="964"/>
      <c r="BUS3" s="964"/>
      <c r="BUT3" s="964"/>
      <c r="BUU3" s="964"/>
      <c r="BUV3" s="964"/>
      <c r="BUW3" s="964"/>
      <c r="BUX3" s="964"/>
      <c r="BUY3" s="964"/>
      <c r="BUZ3" s="964"/>
      <c r="BVA3" s="964"/>
      <c r="BVB3" s="964"/>
      <c r="BVC3" s="964"/>
      <c r="BVD3" s="964"/>
      <c r="BVE3" s="964"/>
      <c r="BVF3" s="964"/>
      <c r="BVG3" s="964"/>
      <c r="BVH3" s="964"/>
      <c r="BVI3" s="964"/>
      <c r="BVJ3" s="964"/>
      <c r="BVK3" s="964"/>
      <c r="BVL3" s="964"/>
      <c r="BVM3" s="964"/>
      <c r="BVN3" s="964"/>
      <c r="BVO3" s="964"/>
      <c r="BVP3" s="964"/>
      <c r="BVQ3" s="964"/>
      <c r="BVR3" s="964"/>
      <c r="BVS3" s="964"/>
      <c r="BVT3" s="964"/>
      <c r="BVU3" s="964"/>
      <c r="BVV3" s="964"/>
      <c r="BVW3" s="964"/>
      <c r="BVX3" s="964"/>
      <c r="BVY3" s="964"/>
      <c r="BVZ3" s="964"/>
      <c r="BWA3" s="964"/>
      <c r="BWB3" s="964"/>
      <c r="BWC3" s="964"/>
      <c r="BWD3" s="964"/>
      <c r="BWE3" s="964"/>
      <c r="BWF3" s="964"/>
      <c r="BWG3" s="964"/>
      <c r="BWH3" s="964"/>
      <c r="BWI3" s="964"/>
      <c r="BWJ3" s="964"/>
      <c r="BWK3" s="964"/>
      <c r="BWL3" s="964"/>
      <c r="BWM3" s="964"/>
      <c r="BWN3" s="964"/>
      <c r="BWO3" s="964"/>
      <c r="BWP3" s="964"/>
      <c r="BWQ3" s="964"/>
      <c r="BWR3" s="964"/>
      <c r="BWS3" s="964"/>
      <c r="BWT3" s="964"/>
      <c r="BWU3" s="964"/>
      <c r="BWV3" s="964"/>
      <c r="BWW3" s="964"/>
      <c r="BWX3" s="964"/>
      <c r="BWY3" s="964"/>
      <c r="BWZ3" s="964"/>
      <c r="BXA3" s="964"/>
      <c r="BXB3" s="964"/>
      <c r="BXC3" s="964"/>
      <c r="BXD3" s="964"/>
      <c r="BXE3" s="964"/>
      <c r="BXF3" s="964"/>
      <c r="BXG3" s="964"/>
      <c r="BXH3" s="964"/>
      <c r="BXI3" s="964"/>
      <c r="BXJ3" s="964"/>
      <c r="BXK3" s="964"/>
      <c r="BXL3" s="964"/>
      <c r="BXM3" s="964"/>
      <c r="BXN3" s="964"/>
      <c r="BXO3" s="964"/>
      <c r="BXP3" s="964"/>
      <c r="BXQ3" s="964"/>
      <c r="BXR3" s="964"/>
      <c r="BXS3" s="964"/>
      <c r="BXT3" s="964"/>
      <c r="BXU3" s="964"/>
      <c r="BXV3" s="964"/>
      <c r="BXW3" s="964"/>
      <c r="BXX3" s="964"/>
      <c r="BXY3" s="964"/>
      <c r="BXZ3" s="964"/>
      <c r="BYA3" s="964"/>
      <c r="BYB3" s="964"/>
      <c r="BYC3" s="964"/>
      <c r="BYD3" s="964"/>
      <c r="BYE3" s="964"/>
      <c r="BYF3" s="964"/>
      <c r="BYG3" s="964"/>
      <c r="BYH3" s="964"/>
      <c r="BYI3" s="964"/>
      <c r="BYJ3" s="964"/>
      <c r="BYK3" s="964"/>
      <c r="BYL3" s="964"/>
      <c r="BYM3" s="964"/>
      <c r="BYN3" s="964"/>
      <c r="BYO3" s="964"/>
      <c r="BYP3" s="964"/>
      <c r="BYQ3" s="964"/>
      <c r="BYR3" s="964"/>
      <c r="BYS3" s="964"/>
      <c r="BYT3" s="964"/>
      <c r="BYU3" s="964"/>
      <c r="BYV3" s="964"/>
      <c r="BYW3" s="964"/>
      <c r="BYX3" s="964"/>
      <c r="BYY3" s="964"/>
      <c r="BYZ3" s="964"/>
      <c r="BZA3" s="964"/>
      <c r="BZB3" s="964"/>
      <c r="BZC3" s="964"/>
      <c r="BZD3" s="964"/>
      <c r="BZE3" s="964"/>
      <c r="BZF3" s="964"/>
      <c r="BZG3" s="964"/>
      <c r="BZH3" s="964"/>
      <c r="BZI3" s="964"/>
      <c r="BZJ3" s="964"/>
      <c r="BZK3" s="964"/>
      <c r="BZL3" s="964"/>
      <c r="BZM3" s="964"/>
      <c r="BZN3" s="964"/>
      <c r="BZO3" s="964"/>
      <c r="BZP3" s="964"/>
      <c r="BZQ3" s="964"/>
      <c r="BZR3" s="964"/>
      <c r="BZS3" s="964"/>
      <c r="BZT3" s="964"/>
      <c r="BZU3" s="964"/>
      <c r="BZV3" s="964"/>
      <c r="BZW3" s="964"/>
      <c r="BZX3" s="964"/>
      <c r="BZY3" s="964"/>
      <c r="BZZ3" s="964"/>
      <c r="CAA3" s="964"/>
      <c r="CAB3" s="964"/>
      <c r="CAC3" s="964"/>
      <c r="CAD3" s="964"/>
      <c r="CAE3" s="964"/>
      <c r="CAF3" s="964"/>
      <c r="CAG3" s="964"/>
      <c r="CAH3" s="964"/>
      <c r="CAI3" s="964"/>
      <c r="CAJ3" s="964"/>
      <c r="CAK3" s="964"/>
      <c r="CAL3" s="964"/>
      <c r="CAM3" s="964"/>
      <c r="CAN3" s="964"/>
      <c r="CAO3" s="964"/>
      <c r="CAP3" s="964"/>
      <c r="CAQ3" s="964"/>
      <c r="CAR3" s="964"/>
      <c r="CAS3" s="964"/>
      <c r="CAT3" s="964"/>
      <c r="CAU3" s="964"/>
      <c r="CAV3" s="964"/>
      <c r="CAW3" s="964"/>
      <c r="CAX3" s="964"/>
      <c r="CAY3" s="964"/>
      <c r="CAZ3" s="964"/>
      <c r="CBA3" s="964"/>
      <c r="CBB3" s="964"/>
      <c r="CBC3" s="964"/>
      <c r="CBD3" s="964"/>
      <c r="CBE3" s="964"/>
      <c r="CBF3" s="964"/>
      <c r="CBG3" s="964"/>
      <c r="CBH3" s="964"/>
      <c r="CBI3" s="964"/>
      <c r="CBJ3" s="964"/>
      <c r="CBK3" s="964"/>
      <c r="CBL3" s="964"/>
      <c r="CBM3" s="964"/>
      <c r="CBN3" s="964"/>
      <c r="CBO3" s="964"/>
      <c r="CBP3" s="964"/>
      <c r="CBQ3" s="964"/>
      <c r="CBR3" s="964"/>
      <c r="CBS3" s="964"/>
      <c r="CBT3" s="964"/>
      <c r="CBU3" s="964"/>
      <c r="CBV3" s="964"/>
      <c r="CBW3" s="964"/>
      <c r="CBX3" s="964"/>
      <c r="CBY3" s="964"/>
      <c r="CBZ3" s="964"/>
      <c r="CCA3" s="964"/>
      <c r="CCB3" s="964"/>
      <c r="CCC3" s="964"/>
      <c r="CCD3" s="964"/>
      <c r="CCE3" s="964"/>
      <c r="CCF3" s="964"/>
      <c r="CCG3" s="964"/>
      <c r="CCH3" s="964"/>
      <c r="CCI3" s="964"/>
      <c r="CCJ3" s="964"/>
      <c r="CCK3" s="964"/>
      <c r="CCL3" s="964"/>
      <c r="CCM3" s="964"/>
      <c r="CCN3" s="964"/>
      <c r="CCO3" s="964"/>
      <c r="CCP3" s="964"/>
      <c r="CCQ3" s="964"/>
      <c r="CCR3" s="964"/>
      <c r="CCS3" s="964"/>
      <c r="CCT3" s="964"/>
      <c r="CCU3" s="964"/>
      <c r="CCV3" s="964"/>
      <c r="CCW3" s="964"/>
      <c r="CCX3" s="964"/>
      <c r="CCY3" s="964"/>
      <c r="CCZ3" s="964"/>
      <c r="CDA3" s="964"/>
      <c r="CDB3" s="964"/>
      <c r="CDC3" s="964"/>
      <c r="CDD3" s="964"/>
      <c r="CDE3" s="964"/>
      <c r="CDF3" s="964"/>
      <c r="CDG3" s="964"/>
      <c r="CDH3" s="964"/>
      <c r="CDI3" s="964"/>
      <c r="CDJ3" s="964"/>
      <c r="CDK3" s="964"/>
      <c r="CDL3" s="964"/>
      <c r="CDM3" s="964"/>
      <c r="CDN3" s="964"/>
      <c r="CDO3" s="964"/>
      <c r="CDP3" s="964"/>
      <c r="CDQ3" s="964"/>
      <c r="CDR3" s="964"/>
      <c r="CDS3" s="964"/>
      <c r="CDT3" s="964"/>
      <c r="CDU3" s="964"/>
      <c r="CDV3" s="964"/>
      <c r="CDW3" s="964"/>
      <c r="CDX3" s="964"/>
      <c r="CDY3" s="964"/>
      <c r="CDZ3" s="964"/>
      <c r="CEA3" s="964"/>
      <c r="CEB3" s="964"/>
      <c r="CEC3" s="964"/>
      <c r="CED3" s="964"/>
      <c r="CEE3" s="964"/>
      <c r="CEF3" s="964"/>
      <c r="CEG3" s="964"/>
      <c r="CEH3" s="964"/>
      <c r="CEI3" s="964"/>
      <c r="CEJ3" s="964"/>
      <c r="CEK3" s="964"/>
      <c r="CEL3" s="964"/>
      <c r="CEM3" s="964"/>
      <c r="CEN3" s="964"/>
      <c r="CEO3" s="964"/>
      <c r="CEP3" s="964"/>
      <c r="CEQ3" s="964"/>
      <c r="CER3" s="964"/>
      <c r="CES3" s="964"/>
      <c r="CET3" s="964"/>
      <c r="CEU3" s="964"/>
      <c r="CEV3" s="964"/>
      <c r="CEW3" s="964"/>
      <c r="CEX3" s="964"/>
      <c r="CEY3" s="964"/>
      <c r="CEZ3" s="964"/>
      <c r="CFA3" s="964"/>
      <c r="CFB3" s="964"/>
      <c r="CFC3" s="964"/>
      <c r="CFD3" s="964"/>
      <c r="CFE3" s="964"/>
      <c r="CFF3" s="964"/>
      <c r="CFG3" s="964"/>
      <c r="CFH3" s="964"/>
      <c r="CFI3" s="964"/>
      <c r="CFJ3" s="964"/>
      <c r="CFK3" s="964"/>
      <c r="CFL3" s="964"/>
      <c r="CFM3" s="964"/>
      <c r="CFN3" s="964"/>
      <c r="CFO3" s="964"/>
      <c r="CFP3" s="964"/>
      <c r="CFQ3" s="964"/>
      <c r="CFR3" s="964"/>
      <c r="CFS3" s="964"/>
      <c r="CFT3" s="964"/>
      <c r="CFU3" s="964"/>
      <c r="CFV3" s="964"/>
      <c r="CFW3" s="964"/>
      <c r="CFX3" s="964"/>
      <c r="CFY3" s="964"/>
      <c r="CFZ3" s="964"/>
      <c r="CGA3" s="964"/>
      <c r="CGB3" s="964"/>
      <c r="CGC3" s="964"/>
      <c r="CGD3" s="964"/>
      <c r="CGE3" s="964"/>
      <c r="CGF3" s="964"/>
      <c r="CGG3" s="964"/>
      <c r="CGH3" s="964"/>
      <c r="CGI3" s="964"/>
      <c r="CGJ3" s="964"/>
      <c r="CGK3" s="964"/>
      <c r="CGL3" s="964"/>
      <c r="CGM3" s="964"/>
      <c r="CGN3" s="964"/>
      <c r="CGO3" s="964"/>
      <c r="CGP3" s="964"/>
      <c r="CGQ3" s="964"/>
      <c r="CGR3" s="964"/>
      <c r="CGS3" s="964"/>
      <c r="CGT3" s="964"/>
      <c r="CGU3" s="964"/>
      <c r="CGV3" s="964"/>
      <c r="CGW3" s="964"/>
      <c r="CGX3" s="964"/>
      <c r="CGY3" s="964"/>
      <c r="CGZ3" s="964"/>
      <c r="CHA3" s="964"/>
      <c r="CHB3" s="964"/>
      <c r="CHC3" s="964"/>
      <c r="CHD3" s="964"/>
      <c r="CHE3" s="964"/>
      <c r="CHF3" s="964"/>
      <c r="CHG3" s="964"/>
      <c r="CHH3" s="964"/>
      <c r="CHI3" s="964"/>
      <c r="CHJ3" s="964"/>
      <c r="CHK3" s="964"/>
      <c r="CHL3" s="964"/>
      <c r="CHM3" s="964"/>
      <c r="CHN3" s="964"/>
      <c r="CHO3" s="964"/>
      <c r="CHP3" s="964"/>
      <c r="CHQ3" s="964"/>
      <c r="CHR3" s="964"/>
      <c r="CHS3" s="964"/>
      <c r="CHT3" s="964"/>
      <c r="CHU3" s="964"/>
      <c r="CHV3" s="964"/>
      <c r="CHW3" s="964"/>
      <c r="CHX3" s="964"/>
      <c r="CHY3" s="964"/>
      <c r="CHZ3" s="964"/>
      <c r="CIA3" s="964"/>
      <c r="CIB3" s="964"/>
      <c r="CIC3" s="964"/>
      <c r="CID3" s="964"/>
      <c r="CIE3" s="964"/>
      <c r="CIF3" s="964"/>
      <c r="CIG3" s="964"/>
      <c r="CIH3" s="964"/>
      <c r="CII3" s="964"/>
      <c r="CIJ3" s="964"/>
      <c r="CIK3" s="964"/>
      <c r="CIL3" s="964"/>
      <c r="CIM3" s="964"/>
      <c r="CIN3" s="964"/>
      <c r="CIO3" s="964"/>
      <c r="CIP3" s="964"/>
      <c r="CIQ3" s="964"/>
      <c r="CIR3" s="964"/>
      <c r="CIS3" s="964"/>
      <c r="CIT3" s="964"/>
      <c r="CIU3" s="964"/>
      <c r="CIV3" s="964"/>
      <c r="CIW3" s="964"/>
      <c r="CIX3" s="964"/>
      <c r="CIY3" s="964"/>
      <c r="CIZ3" s="964"/>
      <c r="CJA3" s="964"/>
      <c r="CJB3" s="964"/>
      <c r="CJC3" s="964"/>
      <c r="CJD3" s="964"/>
      <c r="CJE3" s="964"/>
      <c r="CJF3" s="964"/>
      <c r="CJG3" s="964"/>
      <c r="CJH3" s="964"/>
      <c r="CJI3" s="964"/>
      <c r="CJJ3" s="964"/>
      <c r="CJK3" s="964"/>
      <c r="CJL3" s="964"/>
      <c r="CJM3" s="964"/>
      <c r="CJN3" s="964"/>
      <c r="CJO3" s="964"/>
      <c r="CJP3" s="964"/>
      <c r="CJQ3" s="964"/>
      <c r="CJR3" s="964"/>
      <c r="CJS3" s="964"/>
      <c r="CJT3" s="964"/>
      <c r="CJU3" s="964"/>
      <c r="CJV3" s="964"/>
      <c r="CJW3" s="964"/>
      <c r="CJX3" s="964"/>
      <c r="CJY3" s="964"/>
      <c r="CJZ3" s="964"/>
      <c r="CKA3" s="964"/>
      <c r="CKB3" s="964"/>
      <c r="CKC3" s="964"/>
      <c r="CKD3" s="964"/>
      <c r="CKE3" s="964"/>
      <c r="CKF3" s="964"/>
      <c r="CKG3" s="964"/>
      <c r="CKH3" s="964"/>
      <c r="CKI3" s="964"/>
      <c r="CKJ3" s="964"/>
      <c r="CKK3" s="964"/>
      <c r="CKL3" s="964"/>
      <c r="CKM3" s="964"/>
      <c r="CKN3" s="964"/>
      <c r="CKO3" s="964"/>
      <c r="CKP3" s="964"/>
      <c r="CKQ3" s="964"/>
      <c r="CKR3" s="964"/>
      <c r="CKS3" s="964"/>
      <c r="CKT3" s="964"/>
      <c r="CKU3" s="964"/>
      <c r="CKV3" s="964"/>
      <c r="CKW3" s="964"/>
      <c r="CKX3" s="964"/>
      <c r="CKY3" s="964"/>
      <c r="CKZ3" s="964"/>
      <c r="CLA3" s="964"/>
      <c r="CLB3" s="964"/>
      <c r="CLC3" s="964"/>
      <c r="CLD3" s="964"/>
      <c r="CLE3" s="964"/>
      <c r="CLF3" s="964"/>
      <c r="CLG3" s="964"/>
      <c r="CLH3" s="964"/>
      <c r="CLI3" s="964"/>
      <c r="CLJ3" s="964"/>
      <c r="CLK3" s="964"/>
      <c r="CLL3" s="964"/>
      <c r="CLM3" s="964"/>
      <c r="CLN3" s="964"/>
      <c r="CLO3" s="964"/>
      <c r="CLP3" s="964"/>
      <c r="CLQ3" s="964"/>
      <c r="CLR3" s="964"/>
      <c r="CLS3" s="964"/>
      <c r="CLT3" s="964"/>
      <c r="CLU3" s="964"/>
      <c r="CLV3" s="964"/>
      <c r="CLW3" s="964"/>
      <c r="CLX3" s="964"/>
      <c r="CLY3" s="964"/>
      <c r="CLZ3" s="964"/>
      <c r="CMA3" s="964"/>
      <c r="CMB3" s="964"/>
      <c r="CMC3" s="964"/>
      <c r="CMD3" s="964"/>
      <c r="CME3" s="964"/>
      <c r="CMF3" s="964"/>
      <c r="CMG3" s="964"/>
      <c r="CMH3" s="964"/>
      <c r="CMI3" s="964"/>
      <c r="CMJ3" s="964"/>
      <c r="CMK3" s="964"/>
      <c r="CML3" s="964"/>
      <c r="CMM3" s="964"/>
      <c r="CMN3" s="964"/>
      <c r="CMO3" s="964"/>
      <c r="CMP3" s="964"/>
      <c r="CMQ3" s="964"/>
      <c r="CMR3" s="964"/>
      <c r="CMS3" s="964"/>
      <c r="CMT3" s="964"/>
      <c r="CMU3" s="964"/>
      <c r="CMV3" s="964"/>
      <c r="CMW3" s="964"/>
      <c r="CMX3" s="964"/>
      <c r="CMY3" s="964"/>
      <c r="CMZ3" s="964"/>
      <c r="CNA3" s="964"/>
      <c r="CNB3" s="964"/>
      <c r="CNC3" s="964"/>
      <c r="CND3" s="964"/>
      <c r="CNE3" s="964"/>
      <c r="CNF3" s="964"/>
      <c r="CNG3" s="964"/>
      <c r="CNH3" s="964"/>
      <c r="CNI3" s="964"/>
      <c r="CNJ3" s="964"/>
      <c r="CNK3" s="964"/>
      <c r="CNL3" s="964"/>
      <c r="CNM3" s="964"/>
      <c r="CNN3" s="964"/>
      <c r="CNO3" s="964"/>
      <c r="CNP3" s="964"/>
      <c r="CNQ3" s="964"/>
      <c r="CNR3" s="964"/>
      <c r="CNS3" s="964"/>
      <c r="CNT3" s="964"/>
      <c r="CNU3" s="964"/>
      <c r="CNV3" s="964"/>
      <c r="CNW3" s="964"/>
      <c r="CNX3" s="964"/>
      <c r="CNY3" s="964"/>
      <c r="CNZ3" s="964"/>
      <c r="COA3" s="964"/>
      <c r="COB3" s="964"/>
      <c r="COC3" s="964"/>
      <c r="COD3" s="964"/>
      <c r="COE3" s="964"/>
      <c r="COF3" s="964"/>
      <c r="COG3" s="964"/>
      <c r="COH3" s="964"/>
      <c r="COI3" s="964"/>
      <c r="COJ3" s="964"/>
      <c r="COK3" s="964"/>
      <c r="COL3" s="964"/>
      <c r="COM3" s="964"/>
      <c r="CON3" s="964"/>
      <c r="COO3" s="964"/>
      <c r="COP3" s="964"/>
      <c r="COQ3" s="964"/>
      <c r="COR3" s="964"/>
      <c r="COS3" s="964"/>
      <c r="COT3" s="964"/>
      <c r="COU3" s="964"/>
      <c r="COV3" s="964"/>
      <c r="COW3" s="964"/>
      <c r="COX3" s="964"/>
      <c r="COY3" s="964"/>
      <c r="COZ3" s="964"/>
      <c r="CPA3" s="964"/>
      <c r="CPB3" s="964"/>
      <c r="CPC3" s="964"/>
      <c r="CPD3" s="964"/>
      <c r="CPE3" s="964"/>
      <c r="CPF3" s="964"/>
      <c r="CPG3" s="964"/>
      <c r="CPH3" s="964"/>
      <c r="CPI3" s="964"/>
      <c r="CPJ3" s="964"/>
      <c r="CPK3" s="964"/>
      <c r="CPL3" s="964"/>
      <c r="CPM3" s="964"/>
      <c r="CPN3" s="964"/>
      <c r="CPO3" s="964"/>
      <c r="CPP3" s="964"/>
      <c r="CPQ3" s="964"/>
      <c r="CPR3" s="964"/>
      <c r="CPS3" s="964"/>
      <c r="CPT3" s="964"/>
      <c r="CPU3" s="964"/>
      <c r="CPV3" s="964"/>
      <c r="CPW3" s="964"/>
      <c r="CPX3" s="964"/>
      <c r="CPY3" s="964"/>
      <c r="CPZ3" s="964"/>
      <c r="CQA3" s="964"/>
      <c r="CQB3" s="964"/>
      <c r="CQC3" s="964"/>
      <c r="CQD3" s="964"/>
      <c r="CQE3" s="964"/>
      <c r="CQF3" s="964"/>
      <c r="CQG3" s="964"/>
      <c r="CQH3" s="964"/>
      <c r="CQI3" s="964"/>
      <c r="CQJ3" s="964"/>
      <c r="CQK3" s="964"/>
      <c r="CQL3" s="964"/>
      <c r="CQM3" s="964"/>
      <c r="CQN3" s="964"/>
      <c r="CQO3" s="964"/>
      <c r="CQP3" s="964"/>
      <c r="CQQ3" s="964"/>
      <c r="CQR3" s="964"/>
      <c r="CQS3" s="964"/>
      <c r="CQT3" s="964"/>
      <c r="CQU3" s="964"/>
      <c r="CQV3" s="964"/>
      <c r="CQW3" s="964"/>
      <c r="CQX3" s="964"/>
      <c r="CQY3" s="964"/>
      <c r="CQZ3" s="964"/>
      <c r="CRA3" s="964"/>
      <c r="CRB3" s="964"/>
      <c r="CRC3" s="964"/>
      <c r="CRD3" s="964"/>
      <c r="CRE3" s="964"/>
      <c r="CRF3" s="964"/>
      <c r="CRG3" s="964"/>
      <c r="CRH3" s="964"/>
      <c r="CRI3" s="964"/>
      <c r="CRJ3" s="964"/>
      <c r="CRK3" s="964"/>
      <c r="CRL3" s="964"/>
      <c r="CRM3" s="964"/>
      <c r="CRN3" s="964"/>
      <c r="CRO3" s="964"/>
      <c r="CRP3" s="964"/>
      <c r="CRQ3" s="964"/>
      <c r="CRR3" s="964"/>
      <c r="CRS3" s="964"/>
      <c r="CRT3" s="964"/>
      <c r="CRU3" s="964"/>
      <c r="CRV3" s="964"/>
      <c r="CRW3" s="964"/>
      <c r="CRX3" s="964"/>
      <c r="CRY3" s="964"/>
      <c r="CRZ3" s="964"/>
      <c r="CSA3" s="964"/>
      <c r="CSB3" s="964"/>
      <c r="CSC3" s="964"/>
      <c r="CSD3" s="964"/>
      <c r="CSE3" s="964"/>
      <c r="CSF3" s="964"/>
      <c r="CSG3" s="964"/>
      <c r="CSH3" s="964"/>
      <c r="CSI3" s="964"/>
      <c r="CSJ3" s="964"/>
      <c r="CSK3" s="964"/>
      <c r="CSL3" s="964"/>
      <c r="CSM3" s="964"/>
      <c r="CSN3" s="964"/>
      <c r="CSO3" s="964"/>
      <c r="CSP3" s="964"/>
      <c r="CSQ3" s="964"/>
      <c r="CSR3" s="964"/>
      <c r="CSS3" s="964"/>
      <c r="CST3" s="964"/>
      <c r="CSU3" s="964"/>
      <c r="CSV3" s="964"/>
      <c r="CSW3" s="964"/>
      <c r="CSX3" s="964"/>
      <c r="CSY3" s="964"/>
      <c r="CSZ3" s="964"/>
      <c r="CTA3" s="964"/>
      <c r="CTB3" s="964"/>
      <c r="CTC3" s="964"/>
      <c r="CTD3" s="964"/>
      <c r="CTE3" s="964"/>
      <c r="CTF3" s="964"/>
      <c r="CTG3" s="964"/>
      <c r="CTH3" s="964"/>
      <c r="CTI3" s="964"/>
      <c r="CTJ3" s="964"/>
      <c r="CTK3" s="964"/>
      <c r="CTL3" s="964"/>
      <c r="CTM3" s="964"/>
      <c r="CTN3" s="964"/>
      <c r="CTO3" s="964"/>
      <c r="CTP3" s="964"/>
      <c r="CTQ3" s="964"/>
      <c r="CTR3" s="964"/>
      <c r="CTS3" s="964"/>
      <c r="CTT3" s="964"/>
      <c r="CTU3" s="964"/>
      <c r="CTV3" s="964"/>
      <c r="CTW3" s="964"/>
      <c r="CTX3" s="964"/>
      <c r="CTY3" s="964"/>
      <c r="CTZ3" s="964"/>
      <c r="CUA3" s="964"/>
      <c r="CUB3" s="964"/>
      <c r="CUC3" s="964"/>
      <c r="CUD3" s="964"/>
      <c r="CUE3" s="964"/>
      <c r="CUF3" s="964"/>
      <c r="CUG3" s="964"/>
      <c r="CUH3" s="964"/>
      <c r="CUI3" s="964"/>
      <c r="CUJ3" s="964"/>
      <c r="CUK3" s="964"/>
      <c r="CUL3" s="964"/>
      <c r="CUM3" s="964"/>
      <c r="CUN3" s="964"/>
      <c r="CUO3" s="964"/>
      <c r="CUP3" s="964"/>
      <c r="CUQ3" s="964"/>
      <c r="CUR3" s="964"/>
      <c r="CUS3" s="964"/>
      <c r="CUT3" s="964"/>
      <c r="CUU3" s="964"/>
      <c r="CUV3" s="964"/>
      <c r="CUW3" s="964"/>
      <c r="CUX3" s="964"/>
      <c r="CUY3" s="964"/>
      <c r="CUZ3" s="964"/>
      <c r="CVA3" s="964"/>
      <c r="CVB3" s="964"/>
      <c r="CVC3" s="964"/>
      <c r="CVD3" s="964"/>
      <c r="CVE3" s="964"/>
      <c r="CVF3" s="964"/>
      <c r="CVG3" s="964"/>
      <c r="CVH3" s="964"/>
      <c r="CVI3" s="964"/>
      <c r="CVJ3" s="964"/>
      <c r="CVK3" s="964"/>
      <c r="CVL3" s="964"/>
      <c r="CVM3" s="964"/>
      <c r="CVN3" s="964"/>
      <c r="CVO3" s="964"/>
      <c r="CVP3" s="964"/>
      <c r="CVQ3" s="964"/>
      <c r="CVR3" s="964"/>
      <c r="CVS3" s="964"/>
      <c r="CVT3" s="964"/>
      <c r="CVU3" s="964"/>
      <c r="CVV3" s="964"/>
      <c r="CVW3" s="964"/>
      <c r="CVX3" s="964"/>
      <c r="CVY3" s="964"/>
      <c r="CVZ3" s="964"/>
      <c r="CWA3" s="964"/>
      <c r="CWB3" s="964"/>
      <c r="CWC3" s="964"/>
      <c r="CWD3" s="964"/>
      <c r="CWE3" s="964"/>
      <c r="CWF3" s="964"/>
      <c r="CWG3" s="964"/>
      <c r="CWH3" s="964"/>
      <c r="CWI3" s="964"/>
      <c r="CWJ3" s="964"/>
      <c r="CWK3" s="964"/>
      <c r="CWL3" s="964"/>
      <c r="CWM3" s="964"/>
      <c r="CWN3" s="964"/>
      <c r="CWO3" s="964"/>
      <c r="CWP3" s="964"/>
      <c r="CWQ3" s="964"/>
      <c r="CWR3" s="964"/>
      <c r="CWS3" s="964"/>
      <c r="CWT3" s="964"/>
      <c r="CWU3" s="964"/>
      <c r="CWV3" s="964"/>
      <c r="CWW3" s="964"/>
      <c r="CWX3" s="964"/>
      <c r="CWY3" s="964"/>
      <c r="CWZ3" s="964"/>
      <c r="CXA3" s="964"/>
      <c r="CXB3" s="964"/>
      <c r="CXC3" s="964"/>
      <c r="CXD3" s="964"/>
      <c r="CXE3" s="964"/>
      <c r="CXF3" s="964"/>
      <c r="CXG3" s="964"/>
      <c r="CXH3" s="964"/>
      <c r="CXI3" s="964"/>
      <c r="CXJ3" s="964"/>
      <c r="CXK3" s="964"/>
      <c r="CXL3" s="964"/>
      <c r="CXM3" s="964"/>
      <c r="CXN3" s="964"/>
      <c r="CXO3" s="964"/>
      <c r="CXP3" s="964"/>
      <c r="CXQ3" s="964"/>
      <c r="CXR3" s="964"/>
      <c r="CXS3" s="964"/>
      <c r="CXT3" s="964"/>
      <c r="CXU3" s="964"/>
      <c r="CXV3" s="964"/>
      <c r="CXW3" s="964"/>
      <c r="CXX3" s="964"/>
      <c r="CXY3" s="964"/>
      <c r="CXZ3" s="964"/>
      <c r="CYA3" s="964"/>
      <c r="CYB3" s="964"/>
      <c r="CYC3" s="964"/>
      <c r="CYD3" s="964"/>
      <c r="CYE3" s="964"/>
      <c r="CYF3" s="964"/>
      <c r="CYG3" s="964"/>
      <c r="CYH3" s="964"/>
      <c r="CYI3" s="964"/>
      <c r="CYJ3" s="964"/>
      <c r="CYK3" s="964"/>
      <c r="CYL3" s="964"/>
      <c r="CYM3" s="964"/>
      <c r="CYN3" s="964"/>
      <c r="CYO3" s="964"/>
      <c r="CYP3" s="964"/>
      <c r="CYQ3" s="964"/>
      <c r="CYR3" s="964"/>
      <c r="CYS3" s="964"/>
      <c r="CYT3" s="964"/>
      <c r="CYU3" s="964"/>
      <c r="CYV3" s="964"/>
      <c r="CYW3" s="964"/>
      <c r="CYX3" s="964"/>
      <c r="CYY3" s="964"/>
      <c r="CYZ3" s="964"/>
      <c r="CZA3" s="964"/>
      <c r="CZB3" s="964"/>
      <c r="CZC3" s="964"/>
      <c r="CZD3" s="964"/>
      <c r="CZE3" s="964"/>
      <c r="CZF3" s="964"/>
      <c r="CZG3" s="964"/>
      <c r="CZH3" s="964"/>
      <c r="CZI3" s="964"/>
      <c r="CZJ3" s="964"/>
      <c r="CZK3" s="964"/>
      <c r="CZL3" s="964"/>
      <c r="CZM3" s="964"/>
      <c r="CZN3" s="964"/>
      <c r="CZO3" s="964"/>
      <c r="CZP3" s="964"/>
      <c r="CZQ3" s="964"/>
      <c r="CZR3" s="964"/>
      <c r="CZS3" s="964"/>
      <c r="CZT3" s="964"/>
      <c r="CZU3" s="964"/>
      <c r="CZV3" s="964"/>
      <c r="CZW3" s="964"/>
      <c r="CZX3" s="964"/>
      <c r="CZY3" s="964"/>
      <c r="CZZ3" s="964"/>
      <c r="DAA3" s="964"/>
      <c r="DAB3" s="964"/>
      <c r="DAC3" s="964"/>
      <c r="DAD3" s="964"/>
      <c r="DAE3" s="964"/>
      <c r="DAF3" s="964"/>
      <c r="DAG3" s="964"/>
      <c r="DAH3" s="964"/>
      <c r="DAI3" s="964"/>
      <c r="DAJ3" s="964"/>
      <c r="DAK3" s="964"/>
      <c r="DAL3" s="964"/>
      <c r="DAM3" s="964"/>
      <c r="DAN3" s="964"/>
      <c r="DAO3" s="964"/>
      <c r="DAP3" s="964"/>
      <c r="DAQ3" s="964"/>
      <c r="DAR3" s="964"/>
      <c r="DAS3" s="964"/>
      <c r="DAT3" s="964"/>
      <c r="DAU3" s="964"/>
      <c r="DAV3" s="964"/>
      <c r="DAW3" s="964"/>
      <c r="DAX3" s="964"/>
      <c r="DAY3" s="964"/>
      <c r="DAZ3" s="964"/>
      <c r="DBA3" s="964"/>
      <c r="DBB3" s="964"/>
      <c r="DBC3" s="964"/>
      <c r="DBD3" s="964"/>
      <c r="DBE3" s="964"/>
      <c r="DBF3" s="964"/>
      <c r="DBG3" s="964"/>
      <c r="DBH3" s="964"/>
      <c r="DBI3" s="964"/>
      <c r="DBJ3" s="964"/>
      <c r="DBK3" s="964"/>
      <c r="DBL3" s="964"/>
      <c r="DBM3" s="964"/>
      <c r="DBN3" s="964"/>
      <c r="DBO3" s="964"/>
      <c r="DBP3" s="964"/>
      <c r="DBQ3" s="964"/>
      <c r="DBR3" s="964"/>
      <c r="DBS3" s="964"/>
      <c r="DBT3" s="964"/>
      <c r="DBU3" s="964"/>
      <c r="DBV3" s="964"/>
      <c r="DBW3" s="964"/>
      <c r="DBX3" s="964"/>
      <c r="DBY3" s="964"/>
      <c r="DBZ3" s="964"/>
      <c r="DCA3" s="964"/>
      <c r="DCB3" s="964"/>
      <c r="DCC3" s="964"/>
      <c r="DCD3" s="964"/>
      <c r="DCE3" s="964"/>
      <c r="DCF3" s="964"/>
      <c r="DCG3" s="964"/>
      <c r="DCH3" s="964"/>
      <c r="DCI3" s="964"/>
      <c r="DCJ3" s="964"/>
      <c r="DCK3" s="964"/>
      <c r="DCL3" s="964"/>
      <c r="DCM3" s="964"/>
      <c r="DCN3" s="964"/>
      <c r="DCO3" s="964"/>
      <c r="DCP3" s="964"/>
      <c r="DCQ3" s="964"/>
      <c r="DCR3" s="964"/>
      <c r="DCS3" s="964"/>
      <c r="DCT3" s="964"/>
      <c r="DCU3" s="964"/>
      <c r="DCV3" s="964"/>
      <c r="DCW3" s="964"/>
      <c r="DCX3" s="964"/>
      <c r="DCY3" s="964"/>
      <c r="DCZ3" s="964"/>
      <c r="DDA3" s="964"/>
      <c r="DDB3" s="964"/>
      <c r="DDC3" s="964"/>
      <c r="DDD3" s="964"/>
      <c r="DDE3" s="964"/>
      <c r="DDF3" s="964"/>
      <c r="DDG3" s="964"/>
      <c r="DDH3" s="964"/>
      <c r="DDI3" s="964"/>
      <c r="DDJ3" s="964"/>
      <c r="DDK3" s="964"/>
      <c r="DDL3" s="964"/>
      <c r="DDM3" s="964"/>
      <c r="DDN3" s="964"/>
      <c r="DDO3" s="964"/>
      <c r="DDP3" s="964"/>
      <c r="DDQ3" s="964"/>
      <c r="DDR3" s="964"/>
      <c r="DDS3" s="964"/>
      <c r="DDT3" s="964"/>
      <c r="DDU3" s="964"/>
      <c r="DDV3" s="964"/>
      <c r="DDW3" s="964"/>
      <c r="DDX3" s="964"/>
      <c r="DDY3" s="964"/>
      <c r="DDZ3" s="964"/>
      <c r="DEA3" s="964"/>
      <c r="DEB3" s="964"/>
      <c r="DEC3" s="964"/>
      <c r="DED3" s="964"/>
      <c r="DEE3" s="964"/>
      <c r="DEF3" s="964"/>
      <c r="DEG3" s="964"/>
      <c r="DEH3" s="964"/>
      <c r="DEI3" s="964"/>
      <c r="DEJ3" s="964"/>
      <c r="DEK3" s="964"/>
      <c r="DEL3" s="964"/>
      <c r="DEM3" s="964"/>
      <c r="DEN3" s="964"/>
      <c r="DEO3" s="964"/>
      <c r="DEP3" s="964"/>
      <c r="DEQ3" s="964"/>
      <c r="DER3" s="964"/>
      <c r="DES3" s="964"/>
      <c r="DET3" s="964"/>
      <c r="DEU3" s="964"/>
      <c r="DEV3" s="964"/>
      <c r="DEW3" s="964"/>
      <c r="DEX3" s="964"/>
      <c r="DEY3" s="964"/>
      <c r="DEZ3" s="964"/>
      <c r="DFA3" s="964"/>
      <c r="DFB3" s="964"/>
      <c r="DFC3" s="964"/>
      <c r="DFD3" s="964"/>
      <c r="DFE3" s="964"/>
      <c r="DFF3" s="964"/>
      <c r="DFG3" s="964"/>
      <c r="DFH3" s="964"/>
      <c r="DFI3" s="964"/>
      <c r="DFJ3" s="964"/>
      <c r="DFK3" s="964"/>
      <c r="DFL3" s="964"/>
      <c r="DFM3" s="964"/>
      <c r="DFN3" s="964"/>
      <c r="DFO3" s="964"/>
      <c r="DFP3" s="964"/>
      <c r="DFQ3" s="964"/>
      <c r="DFR3" s="964"/>
      <c r="DFS3" s="964"/>
      <c r="DFT3" s="964"/>
      <c r="DFU3" s="964"/>
      <c r="DFV3" s="964"/>
      <c r="DFW3" s="964"/>
      <c r="DFX3" s="964"/>
      <c r="DFY3" s="964"/>
      <c r="DFZ3" s="964"/>
      <c r="DGA3" s="964"/>
      <c r="DGB3" s="964"/>
      <c r="DGC3" s="964"/>
      <c r="DGD3" s="964"/>
      <c r="DGE3" s="964"/>
      <c r="DGF3" s="964"/>
      <c r="DGG3" s="964"/>
      <c r="DGH3" s="964"/>
      <c r="DGI3" s="964"/>
      <c r="DGJ3" s="964"/>
      <c r="DGK3" s="964"/>
      <c r="DGL3" s="964"/>
      <c r="DGM3" s="964"/>
      <c r="DGN3" s="964"/>
      <c r="DGO3" s="964"/>
      <c r="DGP3" s="964"/>
      <c r="DGQ3" s="964"/>
      <c r="DGR3" s="964"/>
      <c r="DGS3" s="964"/>
      <c r="DGT3" s="964"/>
      <c r="DGU3" s="964"/>
      <c r="DGV3" s="964"/>
      <c r="DGW3" s="964"/>
      <c r="DGX3" s="964"/>
      <c r="DGY3" s="964"/>
      <c r="DGZ3" s="964"/>
      <c r="DHA3" s="964"/>
      <c r="DHB3" s="964"/>
      <c r="DHC3" s="964"/>
      <c r="DHD3" s="964"/>
      <c r="DHE3" s="964"/>
      <c r="DHF3" s="964"/>
      <c r="DHG3" s="964"/>
      <c r="DHH3" s="964"/>
      <c r="DHI3" s="964"/>
      <c r="DHJ3" s="964"/>
      <c r="DHK3" s="964"/>
      <c r="DHL3" s="964"/>
      <c r="DHM3" s="964"/>
      <c r="DHN3" s="964"/>
      <c r="DHO3" s="964"/>
      <c r="DHP3" s="964"/>
      <c r="DHQ3" s="964"/>
      <c r="DHR3" s="964"/>
      <c r="DHS3" s="964"/>
      <c r="DHT3" s="964"/>
      <c r="DHU3" s="964"/>
      <c r="DHV3" s="964"/>
      <c r="DHW3" s="964"/>
      <c r="DHX3" s="964"/>
      <c r="DHY3" s="964"/>
      <c r="DHZ3" s="964"/>
      <c r="DIA3" s="964"/>
      <c r="DIB3" s="964"/>
      <c r="DIC3" s="964"/>
      <c r="DID3" s="964"/>
      <c r="DIE3" s="964"/>
      <c r="DIF3" s="964"/>
      <c r="DIG3" s="964"/>
      <c r="DIH3" s="964"/>
      <c r="DII3" s="964"/>
      <c r="DIJ3" s="964"/>
      <c r="DIK3" s="964"/>
      <c r="DIL3" s="964"/>
      <c r="DIM3" s="964"/>
      <c r="DIN3" s="964"/>
      <c r="DIO3" s="964"/>
      <c r="DIP3" s="964"/>
      <c r="DIQ3" s="964"/>
      <c r="DIR3" s="964"/>
      <c r="DIS3" s="964"/>
      <c r="DIT3" s="964"/>
      <c r="DIU3" s="964"/>
      <c r="DIV3" s="964"/>
      <c r="DIW3" s="964"/>
      <c r="DIX3" s="964"/>
      <c r="DIY3" s="964"/>
      <c r="DIZ3" s="964"/>
      <c r="DJA3" s="964"/>
      <c r="DJB3" s="964"/>
      <c r="DJC3" s="964"/>
      <c r="DJD3" s="964"/>
      <c r="DJE3" s="964"/>
      <c r="DJF3" s="964"/>
      <c r="DJG3" s="964"/>
      <c r="DJH3" s="964"/>
      <c r="DJI3" s="964"/>
      <c r="DJJ3" s="964"/>
      <c r="DJK3" s="964"/>
      <c r="DJL3" s="964"/>
      <c r="DJM3" s="964"/>
      <c r="DJN3" s="964"/>
      <c r="DJO3" s="964"/>
      <c r="DJP3" s="964"/>
      <c r="DJQ3" s="964"/>
      <c r="DJR3" s="964"/>
      <c r="DJS3" s="964"/>
      <c r="DJT3" s="964"/>
      <c r="DJU3" s="964"/>
      <c r="DJV3" s="964"/>
      <c r="DJW3" s="964"/>
      <c r="DJX3" s="964"/>
      <c r="DJY3" s="964"/>
      <c r="DJZ3" s="964"/>
      <c r="DKA3" s="964"/>
      <c r="DKB3" s="964"/>
      <c r="DKC3" s="964"/>
      <c r="DKD3" s="964"/>
      <c r="DKE3" s="964"/>
      <c r="DKF3" s="964"/>
      <c r="DKG3" s="964"/>
      <c r="DKH3" s="964"/>
      <c r="DKI3" s="964"/>
      <c r="DKJ3" s="964"/>
      <c r="DKK3" s="964"/>
      <c r="DKL3" s="964"/>
      <c r="DKM3" s="964"/>
      <c r="DKN3" s="964"/>
      <c r="DKO3" s="964"/>
      <c r="DKP3" s="964"/>
      <c r="DKQ3" s="964"/>
      <c r="DKR3" s="964"/>
      <c r="DKS3" s="964"/>
      <c r="DKT3" s="964"/>
      <c r="DKU3" s="964"/>
      <c r="DKV3" s="964"/>
      <c r="DKW3" s="964"/>
      <c r="DKX3" s="964"/>
      <c r="DKY3" s="964"/>
      <c r="DKZ3" s="964"/>
      <c r="DLA3" s="964"/>
      <c r="DLB3" s="964"/>
      <c r="DLC3" s="964"/>
      <c r="DLD3" s="964"/>
      <c r="DLE3" s="964"/>
      <c r="DLF3" s="964"/>
      <c r="DLG3" s="964"/>
      <c r="DLH3" s="964"/>
      <c r="DLI3" s="964"/>
      <c r="DLJ3" s="964"/>
      <c r="DLK3" s="964"/>
      <c r="DLL3" s="964"/>
      <c r="DLM3" s="964"/>
      <c r="DLN3" s="964"/>
      <c r="DLO3" s="964"/>
      <c r="DLP3" s="964"/>
      <c r="DLQ3" s="964"/>
      <c r="DLR3" s="964"/>
      <c r="DLS3" s="964"/>
      <c r="DLT3" s="964"/>
      <c r="DLU3" s="964"/>
      <c r="DLV3" s="964"/>
      <c r="DLW3" s="964"/>
      <c r="DLX3" s="964"/>
      <c r="DLY3" s="964"/>
      <c r="DLZ3" s="964"/>
      <c r="DMA3" s="964"/>
      <c r="DMB3" s="964"/>
      <c r="DMC3" s="964"/>
      <c r="DMD3" s="964"/>
      <c r="DME3" s="964"/>
      <c r="DMF3" s="964"/>
      <c r="DMG3" s="964"/>
      <c r="DMH3" s="964"/>
      <c r="DMI3" s="964"/>
      <c r="DMJ3" s="964"/>
      <c r="DMK3" s="964"/>
      <c r="DML3" s="964"/>
      <c r="DMM3" s="964"/>
      <c r="DMN3" s="964"/>
      <c r="DMO3" s="964"/>
      <c r="DMP3" s="964"/>
      <c r="DMQ3" s="964"/>
      <c r="DMR3" s="964"/>
      <c r="DMS3" s="964"/>
      <c r="DMT3" s="964"/>
      <c r="DMU3" s="964"/>
      <c r="DMV3" s="964"/>
      <c r="DMW3" s="964"/>
      <c r="DMX3" s="964"/>
      <c r="DMY3" s="964"/>
      <c r="DMZ3" s="964"/>
      <c r="DNA3" s="964"/>
      <c r="DNB3" s="964"/>
      <c r="DNC3" s="964"/>
      <c r="DND3" s="964"/>
      <c r="DNE3" s="964"/>
      <c r="DNF3" s="964"/>
      <c r="DNG3" s="964"/>
      <c r="DNH3" s="964"/>
      <c r="DNI3" s="964"/>
      <c r="DNJ3" s="964"/>
      <c r="DNK3" s="964"/>
      <c r="DNL3" s="964"/>
      <c r="DNM3" s="964"/>
      <c r="DNN3" s="964"/>
      <c r="DNO3" s="964"/>
      <c r="DNP3" s="964"/>
      <c r="DNQ3" s="964"/>
      <c r="DNR3" s="964"/>
      <c r="DNS3" s="964"/>
      <c r="DNT3" s="964"/>
      <c r="DNU3" s="964"/>
      <c r="DNV3" s="964"/>
      <c r="DNW3" s="964"/>
      <c r="DNX3" s="964"/>
      <c r="DNY3" s="964"/>
      <c r="DNZ3" s="964"/>
      <c r="DOA3" s="964"/>
      <c r="DOB3" s="964"/>
      <c r="DOC3" s="964"/>
      <c r="DOD3" s="964"/>
      <c r="DOE3" s="964"/>
      <c r="DOF3" s="964"/>
      <c r="DOG3" s="964"/>
      <c r="DOH3" s="964"/>
      <c r="DOI3" s="964"/>
      <c r="DOJ3" s="964"/>
      <c r="DOK3" s="964"/>
      <c r="DOL3" s="964"/>
      <c r="DOM3" s="964"/>
      <c r="DON3" s="964"/>
      <c r="DOO3" s="964"/>
      <c r="DOP3" s="964"/>
      <c r="DOQ3" s="964"/>
      <c r="DOR3" s="964"/>
      <c r="DOS3" s="964"/>
      <c r="DOT3" s="964"/>
      <c r="DOU3" s="964"/>
      <c r="DOV3" s="964"/>
      <c r="DOW3" s="964"/>
      <c r="DOX3" s="964"/>
      <c r="DOY3" s="964"/>
      <c r="DOZ3" s="964"/>
      <c r="DPA3" s="964"/>
      <c r="DPB3" s="964"/>
      <c r="DPC3" s="964"/>
      <c r="DPD3" s="964"/>
      <c r="DPE3" s="964"/>
      <c r="DPF3" s="964"/>
      <c r="DPG3" s="964"/>
      <c r="DPH3" s="964"/>
      <c r="DPI3" s="964"/>
      <c r="DPJ3" s="964"/>
      <c r="DPK3" s="964"/>
      <c r="DPL3" s="964"/>
      <c r="DPM3" s="964"/>
      <c r="DPN3" s="964"/>
      <c r="DPO3" s="964"/>
      <c r="DPP3" s="964"/>
      <c r="DPQ3" s="964"/>
      <c r="DPR3" s="964"/>
      <c r="DPS3" s="964"/>
      <c r="DPT3" s="964"/>
      <c r="DPU3" s="964"/>
      <c r="DPV3" s="964"/>
      <c r="DPW3" s="964"/>
      <c r="DPX3" s="964"/>
      <c r="DPY3" s="964"/>
      <c r="DPZ3" s="964"/>
      <c r="DQA3" s="964"/>
      <c r="DQB3" s="964"/>
      <c r="DQC3" s="964"/>
      <c r="DQD3" s="964"/>
      <c r="DQE3" s="964"/>
      <c r="DQF3" s="964"/>
      <c r="DQG3" s="964"/>
      <c r="DQH3" s="964"/>
      <c r="DQI3" s="964"/>
      <c r="DQJ3" s="964"/>
      <c r="DQK3" s="964"/>
      <c r="DQL3" s="964"/>
      <c r="DQM3" s="964"/>
      <c r="DQN3" s="964"/>
      <c r="DQO3" s="964"/>
      <c r="DQP3" s="964"/>
      <c r="DQQ3" s="964"/>
      <c r="DQR3" s="964"/>
      <c r="DQS3" s="964"/>
      <c r="DQT3" s="964"/>
      <c r="DQU3" s="964"/>
      <c r="DQV3" s="964"/>
      <c r="DQW3" s="964"/>
      <c r="DQX3" s="964"/>
      <c r="DQY3" s="964"/>
      <c r="DQZ3" s="964"/>
      <c r="DRA3" s="964"/>
      <c r="DRB3" s="964"/>
      <c r="DRC3" s="964"/>
      <c r="DRD3" s="964"/>
      <c r="DRE3" s="964"/>
      <c r="DRF3" s="964"/>
      <c r="DRG3" s="964"/>
      <c r="DRH3" s="964"/>
      <c r="DRI3" s="964"/>
      <c r="DRJ3" s="964"/>
      <c r="DRK3" s="964"/>
      <c r="DRL3" s="964"/>
      <c r="DRM3" s="964"/>
      <c r="DRN3" s="964"/>
      <c r="DRO3" s="964"/>
      <c r="DRP3" s="964"/>
      <c r="DRQ3" s="964"/>
      <c r="DRR3" s="964"/>
      <c r="DRS3" s="964"/>
      <c r="DRT3" s="964"/>
      <c r="DRU3" s="964"/>
      <c r="DRV3" s="964"/>
      <c r="DRW3" s="964"/>
      <c r="DRX3" s="964"/>
      <c r="DRY3" s="964"/>
      <c r="DRZ3" s="964"/>
      <c r="DSA3" s="964"/>
      <c r="DSB3" s="964"/>
      <c r="DSC3" s="964"/>
      <c r="DSD3" s="964"/>
      <c r="DSE3" s="964"/>
      <c r="DSF3" s="964"/>
      <c r="DSG3" s="964"/>
      <c r="DSH3" s="964"/>
      <c r="DSI3" s="964"/>
      <c r="DSJ3" s="964"/>
      <c r="DSK3" s="964"/>
      <c r="DSL3" s="964"/>
      <c r="DSM3" s="964"/>
      <c r="DSN3" s="964"/>
      <c r="DSO3" s="964"/>
      <c r="DSP3" s="964"/>
      <c r="DSQ3" s="964"/>
      <c r="DSR3" s="964"/>
      <c r="DSS3" s="964"/>
      <c r="DST3" s="964"/>
      <c r="DSU3" s="964"/>
      <c r="DSV3" s="964"/>
      <c r="DSW3" s="964"/>
      <c r="DSX3" s="964"/>
      <c r="DSY3" s="964"/>
      <c r="DSZ3" s="964"/>
      <c r="DTA3" s="964"/>
      <c r="DTB3" s="964"/>
      <c r="DTC3" s="964"/>
      <c r="DTD3" s="964"/>
      <c r="DTE3" s="964"/>
      <c r="DTF3" s="964"/>
      <c r="DTG3" s="964"/>
      <c r="DTH3" s="964"/>
      <c r="DTI3" s="964"/>
      <c r="DTJ3" s="964"/>
      <c r="DTK3" s="964"/>
      <c r="DTL3" s="964"/>
      <c r="DTM3" s="964"/>
      <c r="DTN3" s="964"/>
      <c r="DTO3" s="964"/>
      <c r="DTP3" s="964"/>
      <c r="DTQ3" s="964"/>
      <c r="DTR3" s="964"/>
      <c r="DTS3" s="964"/>
      <c r="DTT3" s="964"/>
      <c r="DTU3" s="964"/>
      <c r="DTV3" s="964"/>
      <c r="DTW3" s="964"/>
      <c r="DTX3" s="964"/>
      <c r="DTY3" s="964"/>
      <c r="DTZ3" s="964"/>
      <c r="DUA3" s="964"/>
      <c r="DUB3" s="964"/>
      <c r="DUC3" s="964"/>
      <c r="DUD3" s="964"/>
      <c r="DUE3" s="964"/>
      <c r="DUF3" s="964"/>
      <c r="DUG3" s="964"/>
      <c r="DUH3" s="964"/>
      <c r="DUI3" s="964"/>
      <c r="DUJ3" s="964"/>
      <c r="DUK3" s="964"/>
      <c r="DUL3" s="964"/>
      <c r="DUM3" s="964"/>
      <c r="DUN3" s="964"/>
      <c r="DUO3" s="964"/>
      <c r="DUP3" s="964"/>
      <c r="DUQ3" s="964"/>
      <c r="DUR3" s="964"/>
      <c r="DUS3" s="964"/>
      <c r="DUT3" s="964"/>
      <c r="DUU3" s="964"/>
      <c r="DUV3" s="964"/>
      <c r="DUW3" s="964"/>
      <c r="DUX3" s="964"/>
      <c r="DUY3" s="964"/>
      <c r="DUZ3" s="964"/>
      <c r="DVA3" s="964"/>
      <c r="DVB3" s="964"/>
      <c r="DVC3" s="964"/>
      <c r="DVD3" s="964"/>
      <c r="DVE3" s="964"/>
      <c r="DVF3" s="964"/>
      <c r="DVG3" s="964"/>
      <c r="DVH3" s="964"/>
      <c r="DVI3" s="964"/>
      <c r="DVJ3" s="964"/>
      <c r="DVK3" s="964"/>
      <c r="DVL3" s="964"/>
      <c r="DVM3" s="964"/>
      <c r="DVN3" s="964"/>
      <c r="DVO3" s="964"/>
      <c r="DVP3" s="964"/>
      <c r="DVQ3" s="964"/>
      <c r="DVR3" s="964"/>
      <c r="DVS3" s="964"/>
      <c r="DVT3" s="964"/>
      <c r="DVU3" s="964"/>
      <c r="DVV3" s="964"/>
      <c r="DVW3" s="964"/>
      <c r="DVX3" s="964"/>
      <c r="DVY3" s="964"/>
      <c r="DVZ3" s="964"/>
      <c r="DWA3" s="964"/>
      <c r="DWB3" s="964"/>
      <c r="DWC3" s="964"/>
      <c r="DWD3" s="964"/>
      <c r="DWE3" s="964"/>
      <c r="DWF3" s="964"/>
      <c r="DWG3" s="964"/>
      <c r="DWH3" s="964"/>
      <c r="DWI3" s="964"/>
      <c r="DWJ3" s="964"/>
      <c r="DWK3" s="964"/>
      <c r="DWL3" s="964"/>
      <c r="DWM3" s="964"/>
      <c r="DWN3" s="964"/>
      <c r="DWO3" s="964"/>
      <c r="DWP3" s="964"/>
      <c r="DWQ3" s="964"/>
      <c r="DWR3" s="964"/>
      <c r="DWS3" s="964"/>
      <c r="DWT3" s="964"/>
      <c r="DWU3" s="964"/>
      <c r="DWV3" s="964"/>
      <c r="DWW3" s="964"/>
      <c r="DWX3" s="964"/>
      <c r="DWY3" s="964"/>
      <c r="DWZ3" s="964"/>
      <c r="DXA3" s="964"/>
      <c r="DXB3" s="964"/>
      <c r="DXC3" s="964"/>
      <c r="DXD3" s="964"/>
      <c r="DXE3" s="964"/>
      <c r="DXF3" s="964"/>
      <c r="DXG3" s="964"/>
      <c r="DXH3" s="964"/>
      <c r="DXI3" s="964"/>
      <c r="DXJ3" s="964"/>
      <c r="DXK3" s="964"/>
      <c r="DXL3" s="964"/>
      <c r="DXM3" s="964"/>
      <c r="DXN3" s="964"/>
      <c r="DXO3" s="964"/>
      <c r="DXP3" s="964"/>
      <c r="DXQ3" s="964"/>
      <c r="DXR3" s="964"/>
      <c r="DXS3" s="964"/>
      <c r="DXT3" s="964"/>
      <c r="DXU3" s="964"/>
      <c r="DXV3" s="964"/>
      <c r="DXW3" s="964"/>
      <c r="DXX3" s="964"/>
      <c r="DXY3" s="964"/>
      <c r="DXZ3" s="964"/>
      <c r="DYA3" s="964"/>
      <c r="DYB3" s="964"/>
      <c r="DYC3" s="964"/>
      <c r="DYD3" s="964"/>
      <c r="DYE3" s="964"/>
      <c r="DYF3" s="964"/>
      <c r="DYG3" s="964"/>
      <c r="DYH3" s="964"/>
      <c r="DYI3" s="964"/>
      <c r="DYJ3" s="964"/>
      <c r="DYK3" s="964"/>
      <c r="DYL3" s="964"/>
      <c r="DYM3" s="964"/>
      <c r="DYN3" s="964"/>
      <c r="DYO3" s="964"/>
      <c r="DYP3" s="964"/>
      <c r="DYQ3" s="964"/>
      <c r="DYR3" s="964"/>
      <c r="DYS3" s="964"/>
      <c r="DYT3" s="964"/>
      <c r="DYU3" s="964"/>
      <c r="DYV3" s="964"/>
      <c r="DYW3" s="964"/>
      <c r="DYX3" s="964"/>
      <c r="DYY3" s="964"/>
      <c r="DYZ3" s="964"/>
      <c r="DZA3" s="964"/>
      <c r="DZB3" s="964"/>
      <c r="DZC3" s="964"/>
      <c r="DZD3" s="964"/>
      <c r="DZE3" s="964"/>
      <c r="DZF3" s="964"/>
      <c r="DZG3" s="964"/>
      <c r="DZH3" s="964"/>
      <c r="DZI3" s="964"/>
      <c r="DZJ3" s="964"/>
      <c r="DZK3" s="964"/>
      <c r="DZL3" s="964"/>
      <c r="DZM3" s="964"/>
      <c r="DZN3" s="964"/>
      <c r="DZO3" s="964"/>
      <c r="DZP3" s="964"/>
      <c r="DZQ3" s="964"/>
      <c r="DZR3" s="964"/>
      <c r="DZS3" s="964"/>
      <c r="DZT3" s="964"/>
      <c r="DZU3" s="964"/>
      <c r="DZV3" s="964"/>
      <c r="DZW3" s="964"/>
      <c r="DZX3" s="964"/>
      <c r="DZY3" s="964"/>
      <c r="DZZ3" s="964"/>
      <c r="EAA3" s="964"/>
      <c r="EAB3" s="964"/>
      <c r="EAC3" s="964"/>
      <c r="EAD3" s="964"/>
      <c r="EAE3" s="964"/>
      <c r="EAF3" s="964"/>
      <c r="EAG3" s="964"/>
      <c r="EAH3" s="964"/>
      <c r="EAI3" s="964"/>
      <c r="EAJ3" s="964"/>
      <c r="EAK3" s="964"/>
      <c r="EAL3" s="964"/>
      <c r="EAM3" s="964"/>
      <c r="EAN3" s="964"/>
      <c r="EAO3" s="964"/>
      <c r="EAP3" s="964"/>
      <c r="EAQ3" s="964"/>
      <c r="EAR3" s="964"/>
      <c r="EAS3" s="964"/>
      <c r="EAT3" s="964"/>
      <c r="EAU3" s="964"/>
      <c r="EAV3" s="964"/>
      <c r="EAW3" s="964"/>
      <c r="EAX3" s="964"/>
      <c r="EAY3" s="964"/>
      <c r="EAZ3" s="964"/>
      <c r="EBA3" s="964"/>
      <c r="EBB3" s="964"/>
      <c r="EBC3" s="964"/>
      <c r="EBD3" s="964"/>
      <c r="EBE3" s="964"/>
      <c r="EBF3" s="964"/>
      <c r="EBG3" s="964"/>
      <c r="EBH3" s="964"/>
      <c r="EBI3" s="964"/>
      <c r="EBJ3" s="964"/>
      <c r="EBK3" s="964"/>
      <c r="EBL3" s="964"/>
      <c r="EBM3" s="964"/>
      <c r="EBN3" s="964"/>
      <c r="EBO3" s="964"/>
      <c r="EBP3" s="964"/>
      <c r="EBQ3" s="964"/>
      <c r="EBR3" s="964"/>
      <c r="EBS3" s="964"/>
      <c r="EBT3" s="964"/>
      <c r="EBU3" s="964"/>
      <c r="EBV3" s="964"/>
      <c r="EBW3" s="964"/>
      <c r="EBX3" s="964"/>
      <c r="EBY3" s="964"/>
      <c r="EBZ3" s="964"/>
      <c r="ECA3" s="964"/>
      <c r="ECB3" s="964"/>
      <c r="ECC3" s="964"/>
      <c r="ECD3" s="964"/>
      <c r="ECE3" s="964"/>
      <c r="ECF3" s="964"/>
      <c r="ECG3" s="964"/>
      <c r="ECH3" s="964"/>
      <c r="ECI3" s="964"/>
      <c r="ECJ3" s="964"/>
      <c r="ECK3" s="964"/>
      <c r="ECL3" s="964"/>
      <c r="ECM3" s="964"/>
      <c r="ECN3" s="964"/>
      <c r="ECO3" s="964"/>
      <c r="ECP3" s="964"/>
      <c r="ECQ3" s="964"/>
      <c r="ECR3" s="964"/>
      <c r="ECS3" s="964"/>
      <c r="ECT3" s="964"/>
      <c r="ECU3" s="964"/>
      <c r="ECV3" s="964"/>
      <c r="ECW3" s="964"/>
      <c r="ECX3" s="964"/>
      <c r="ECY3" s="964"/>
      <c r="ECZ3" s="964"/>
      <c r="EDA3" s="964"/>
      <c r="EDB3" s="964"/>
      <c r="EDC3" s="964"/>
      <c r="EDD3" s="964"/>
      <c r="EDE3" s="964"/>
      <c r="EDF3" s="964"/>
      <c r="EDG3" s="964"/>
      <c r="EDH3" s="964"/>
      <c r="EDI3" s="964"/>
      <c r="EDJ3" s="964"/>
      <c r="EDK3" s="964"/>
      <c r="EDL3" s="964"/>
      <c r="EDM3" s="964"/>
      <c r="EDN3" s="964"/>
      <c r="EDO3" s="964"/>
      <c r="EDP3" s="964"/>
      <c r="EDQ3" s="964"/>
      <c r="EDR3" s="964"/>
      <c r="EDS3" s="964"/>
      <c r="EDT3" s="964"/>
      <c r="EDU3" s="964"/>
      <c r="EDV3" s="964"/>
      <c r="EDW3" s="964"/>
      <c r="EDX3" s="964"/>
      <c r="EDY3" s="964"/>
      <c r="EDZ3" s="964"/>
      <c r="EEA3" s="964"/>
      <c r="EEB3" s="964"/>
      <c r="EEC3" s="964"/>
      <c r="EED3" s="964"/>
      <c r="EEE3" s="964"/>
      <c r="EEF3" s="964"/>
      <c r="EEG3" s="964"/>
      <c r="EEH3" s="964"/>
      <c r="EEI3" s="964"/>
      <c r="EEJ3" s="964"/>
      <c r="EEK3" s="964"/>
      <c r="EEL3" s="964"/>
      <c r="EEM3" s="964"/>
      <c r="EEN3" s="964"/>
      <c r="EEO3" s="964"/>
      <c r="EEP3" s="964"/>
      <c r="EEQ3" s="964"/>
      <c r="EER3" s="964"/>
      <c r="EES3" s="964"/>
      <c r="EET3" s="964"/>
      <c r="EEU3" s="964"/>
      <c r="EEV3" s="964"/>
      <c r="EEW3" s="964"/>
      <c r="EEX3" s="964"/>
      <c r="EEY3" s="964"/>
      <c r="EEZ3" s="964"/>
      <c r="EFA3" s="964"/>
      <c r="EFB3" s="964"/>
      <c r="EFC3" s="964"/>
      <c r="EFD3" s="964"/>
      <c r="EFE3" s="964"/>
      <c r="EFF3" s="964"/>
      <c r="EFG3" s="964"/>
      <c r="EFH3" s="964"/>
      <c r="EFI3" s="964"/>
      <c r="EFJ3" s="964"/>
      <c r="EFK3" s="964"/>
      <c r="EFL3" s="964"/>
      <c r="EFM3" s="964"/>
      <c r="EFN3" s="964"/>
      <c r="EFO3" s="964"/>
      <c r="EFP3" s="964"/>
      <c r="EFQ3" s="964"/>
      <c r="EFR3" s="964"/>
      <c r="EFS3" s="964"/>
      <c r="EFT3" s="964"/>
      <c r="EFU3" s="964"/>
      <c r="EFV3" s="964"/>
      <c r="EFW3" s="964"/>
      <c r="EFX3" s="964"/>
      <c r="EFY3" s="964"/>
      <c r="EFZ3" s="964"/>
      <c r="EGA3" s="964"/>
      <c r="EGB3" s="964"/>
      <c r="EGC3" s="964"/>
      <c r="EGD3" s="964"/>
      <c r="EGE3" s="964"/>
      <c r="EGF3" s="964"/>
      <c r="EGG3" s="964"/>
      <c r="EGH3" s="964"/>
      <c r="EGI3" s="964"/>
      <c r="EGJ3" s="964"/>
      <c r="EGK3" s="964"/>
      <c r="EGL3" s="964"/>
      <c r="EGM3" s="964"/>
      <c r="EGN3" s="964"/>
      <c r="EGO3" s="964"/>
      <c r="EGP3" s="964"/>
      <c r="EGQ3" s="964"/>
      <c r="EGR3" s="964"/>
      <c r="EGS3" s="964"/>
      <c r="EGT3" s="964"/>
      <c r="EGU3" s="964"/>
      <c r="EGV3" s="964"/>
      <c r="EGW3" s="964"/>
      <c r="EGX3" s="964"/>
      <c r="EGY3" s="964"/>
      <c r="EGZ3" s="964"/>
      <c r="EHA3" s="964"/>
      <c r="EHB3" s="964"/>
      <c r="EHC3" s="964"/>
      <c r="EHD3" s="964"/>
      <c r="EHE3" s="964"/>
      <c r="EHF3" s="964"/>
      <c r="EHG3" s="964"/>
      <c r="EHH3" s="964"/>
      <c r="EHI3" s="964"/>
      <c r="EHJ3" s="964"/>
      <c r="EHK3" s="964"/>
      <c r="EHL3" s="964"/>
      <c r="EHM3" s="964"/>
      <c r="EHN3" s="964"/>
      <c r="EHO3" s="964"/>
      <c r="EHP3" s="964"/>
      <c r="EHQ3" s="964"/>
      <c r="EHR3" s="964"/>
      <c r="EHS3" s="964"/>
      <c r="EHT3" s="964"/>
      <c r="EHU3" s="964"/>
      <c r="EHV3" s="964"/>
      <c r="EHW3" s="964"/>
      <c r="EHX3" s="964"/>
      <c r="EHY3" s="964"/>
      <c r="EHZ3" s="964"/>
      <c r="EIA3" s="964"/>
      <c r="EIB3" s="964"/>
      <c r="EIC3" s="964"/>
      <c r="EID3" s="964"/>
      <c r="EIE3" s="964"/>
      <c r="EIF3" s="964"/>
      <c r="EIG3" s="964"/>
      <c r="EIH3" s="964"/>
      <c r="EII3" s="964"/>
      <c r="EIJ3" s="964"/>
      <c r="EIK3" s="964"/>
      <c r="EIL3" s="964"/>
      <c r="EIM3" s="964"/>
      <c r="EIN3" s="964"/>
      <c r="EIO3" s="964"/>
      <c r="EIP3" s="964"/>
      <c r="EIQ3" s="964"/>
      <c r="EIR3" s="964"/>
      <c r="EIS3" s="964"/>
      <c r="EIT3" s="964"/>
      <c r="EIU3" s="964"/>
      <c r="EIV3" s="964"/>
      <c r="EIW3" s="964"/>
      <c r="EIX3" s="964"/>
      <c r="EIY3" s="964"/>
      <c r="EIZ3" s="964"/>
      <c r="EJA3" s="964"/>
      <c r="EJB3" s="964"/>
      <c r="EJC3" s="964"/>
      <c r="EJD3" s="964"/>
      <c r="EJE3" s="964"/>
      <c r="EJF3" s="964"/>
      <c r="EJG3" s="964"/>
      <c r="EJH3" s="964"/>
      <c r="EJI3" s="964"/>
      <c r="EJJ3" s="964"/>
      <c r="EJK3" s="964"/>
      <c r="EJL3" s="964"/>
      <c r="EJM3" s="964"/>
      <c r="EJN3" s="964"/>
      <c r="EJO3" s="964"/>
      <c r="EJP3" s="964"/>
      <c r="EJQ3" s="964"/>
      <c r="EJR3" s="964"/>
      <c r="EJS3" s="964"/>
      <c r="EJT3" s="964"/>
      <c r="EJU3" s="964"/>
      <c r="EJV3" s="964"/>
      <c r="EJW3" s="964"/>
      <c r="EJX3" s="964"/>
      <c r="EJY3" s="964"/>
      <c r="EJZ3" s="964"/>
      <c r="EKA3" s="964"/>
      <c r="EKB3" s="964"/>
      <c r="EKC3" s="964"/>
      <c r="EKD3" s="964"/>
      <c r="EKE3" s="964"/>
      <c r="EKF3" s="964"/>
      <c r="EKG3" s="964"/>
      <c r="EKH3" s="964"/>
      <c r="EKI3" s="964"/>
      <c r="EKJ3" s="964"/>
      <c r="EKK3" s="964"/>
      <c r="EKL3" s="964"/>
      <c r="EKM3" s="964"/>
      <c r="EKN3" s="964"/>
      <c r="EKO3" s="964"/>
      <c r="EKP3" s="964"/>
      <c r="EKQ3" s="964"/>
      <c r="EKR3" s="964"/>
      <c r="EKS3" s="964"/>
      <c r="EKT3" s="964"/>
      <c r="EKU3" s="964"/>
      <c r="EKV3" s="964"/>
      <c r="EKW3" s="964"/>
      <c r="EKX3" s="964"/>
      <c r="EKY3" s="964"/>
      <c r="EKZ3" s="964"/>
      <c r="ELA3" s="964"/>
      <c r="ELB3" s="964"/>
      <c r="ELC3" s="964"/>
      <c r="ELD3" s="964"/>
      <c r="ELE3" s="964"/>
      <c r="ELF3" s="964"/>
      <c r="ELG3" s="964"/>
      <c r="ELH3" s="964"/>
      <c r="ELI3" s="964"/>
      <c r="ELJ3" s="964"/>
      <c r="ELK3" s="964"/>
      <c r="ELL3" s="964"/>
      <c r="ELM3" s="964"/>
      <c r="ELN3" s="964"/>
      <c r="ELO3" s="964"/>
      <c r="ELP3" s="964"/>
      <c r="ELQ3" s="964"/>
      <c r="ELR3" s="964"/>
      <c r="ELS3" s="964"/>
      <c r="ELT3" s="964"/>
      <c r="ELU3" s="964"/>
      <c r="ELV3" s="964"/>
      <c r="ELW3" s="964"/>
      <c r="ELX3" s="964"/>
      <c r="ELY3" s="964"/>
      <c r="ELZ3" s="964"/>
      <c r="EMA3" s="964"/>
      <c r="EMB3" s="964"/>
      <c r="EMC3" s="964"/>
      <c r="EMD3" s="964"/>
      <c r="EME3" s="964"/>
      <c r="EMF3" s="964"/>
      <c r="EMG3" s="964"/>
      <c r="EMH3" s="964"/>
      <c r="EMI3" s="964"/>
      <c r="EMJ3" s="964"/>
      <c r="EMK3" s="964"/>
      <c r="EML3" s="964"/>
      <c r="EMM3" s="964"/>
      <c r="EMN3" s="964"/>
      <c r="EMO3" s="964"/>
      <c r="EMP3" s="964"/>
      <c r="EMQ3" s="964"/>
      <c r="EMR3" s="964"/>
      <c r="EMS3" s="964"/>
      <c r="EMT3" s="964"/>
      <c r="EMU3" s="964"/>
      <c r="EMV3" s="964"/>
      <c r="EMW3" s="964"/>
      <c r="EMX3" s="964"/>
      <c r="EMY3" s="964"/>
      <c r="EMZ3" s="964"/>
      <c r="ENA3" s="964"/>
      <c r="ENB3" s="964"/>
      <c r="ENC3" s="964"/>
      <c r="END3" s="964"/>
      <c r="ENE3" s="964"/>
      <c r="ENF3" s="964"/>
      <c r="ENG3" s="964"/>
      <c r="ENH3" s="964"/>
      <c r="ENI3" s="964"/>
      <c r="ENJ3" s="964"/>
      <c r="ENK3" s="964"/>
      <c r="ENL3" s="964"/>
      <c r="ENM3" s="964"/>
      <c r="ENN3" s="964"/>
      <c r="ENO3" s="964"/>
      <c r="ENP3" s="964"/>
      <c r="ENQ3" s="964"/>
      <c r="ENR3" s="964"/>
      <c r="ENS3" s="964"/>
      <c r="ENT3" s="964"/>
      <c r="ENU3" s="964"/>
      <c r="ENV3" s="964"/>
      <c r="ENW3" s="964"/>
      <c r="ENX3" s="964"/>
      <c r="ENY3" s="964"/>
      <c r="ENZ3" s="964"/>
      <c r="EOA3" s="964"/>
      <c r="EOB3" s="964"/>
      <c r="EOC3" s="964"/>
      <c r="EOD3" s="964"/>
      <c r="EOE3" s="964"/>
      <c r="EOF3" s="964"/>
      <c r="EOG3" s="964"/>
      <c r="EOH3" s="964"/>
      <c r="EOI3" s="964"/>
      <c r="EOJ3" s="964"/>
      <c r="EOK3" s="964"/>
      <c r="EOL3" s="964"/>
      <c r="EOM3" s="964"/>
      <c r="EON3" s="964"/>
      <c r="EOO3" s="964"/>
      <c r="EOP3" s="964"/>
      <c r="EOQ3" s="964"/>
      <c r="EOR3" s="964"/>
      <c r="EOS3" s="964"/>
      <c r="EOT3" s="964"/>
      <c r="EOU3" s="964"/>
      <c r="EOV3" s="964"/>
      <c r="EOW3" s="964"/>
      <c r="EOX3" s="964"/>
      <c r="EOY3" s="964"/>
      <c r="EOZ3" s="964"/>
      <c r="EPA3" s="964"/>
      <c r="EPB3" s="964"/>
      <c r="EPC3" s="964"/>
      <c r="EPD3" s="964"/>
      <c r="EPE3" s="964"/>
      <c r="EPF3" s="964"/>
      <c r="EPG3" s="964"/>
      <c r="EPH3" s="964"/>
      <c r="EPI3" s="964"/>
      <c r="EPJ3" s="964"/>
      <c r="EPK3" s="964"/>
      <c r="EPL3" s="964"/>
      <c r="EPM3" s="964"/>
      <c r="EPN3" s="964"/>
      <c r="EPO3" s="964"/>
      <c r="EPP3" s="964"/>
      <c r="EPQ3" s="964"/>
      <c r="EPR3" s="964"/>
      <c r="EPS3" s="964"/>
      <c r="EPT3" s="964"/>
      <c r="EPU3" s="964"/>
      <c r="EPV3" s="964"/>
      <c r="EPW3" s="964"/>
      <c r="EPX3" s="964"/>
      <c r="EPY3" s="964"/>
      <c r="EPZ3" s="964"/>
      <c r="EQA3" s="964"/>
      <c r="EQB3" s="964"/>
      <c r="EQC3" s="964"/>
      <c r="EQD3" s="964"/>
      <c r="EQE3" s="964"/>
      <c r="EQF3" s="964"/>
      <c r="EQG3" s="964"/>
      <c r="EQH3" s="964"/>
      <c r="EQI3" s="964"/>
      <c r="EQJ3" s="964"/>
      <c r="EQK3" s="964"/>
      <c r="EQL3" s="964"/>
      <c r="EQM3" s="964"/>
      <c r="EQN3" s="964"/>
      <c r="EQO3" s="964"/>
      <c r="EQP3" s="964"/>
      <c r="EQQ3" s="964"/>
      <c r="EQR3" s="964"/>
      <c r="EQS3" s="964"/>
      <c r="EQT3" s="964"/>
      <c r="EQU3" s="964"/>
      <c r="EQV3" s="964"/>
      <c r="EQW3" s="964"/>
      <c r="EQX3" s="964"/>
      <c r="EQY3" s="964"/>
      <c r="EQZ3" s="964"/>
      <c r="ERA3" s="964"/>
      <c r="ERB3" s="964"/>
      <c r="ERC3" s="964"/>
      <c r="ERD3" s="964"/>
      <c r="ERE3" s="964"/>
      <c r="ERF3" s="964"/>
      <c r="ERG3" s="964"/>
      <c r="ERH3" s="964"/>
      <c r="ERI3" s="964"/>
      <c r="ERJ3" s="964"/>
      <c r="ERK3" s="964"/>
      <c r="ERL3" s="964"/>
      <c r="ERM3" s="964"/>
      <c r="ERN3" s="964"/>
      <c r="ERO3" s="964"/>
      <c r="ERP3" s="964"/>
      <c r="ERQ3" s="964"/>
      <c r="ERR3" s="964"/>
      <c r="ERS3" s="964"/>
      <c r="ERT3" s="964"/>
      <c r="ERU3" s="964"/>
      <c r="ERV3" s="964"/>
      <c r="ERW3" s="964"/>
      <c r="ERX3" s="964"/>
      <c r="ERY3" s="964"/>
      <c r="ERZ3" s="964"/>
      <c r="ESA3" s="964"/>
      <c r="ESB3" s="964"/>
      <c r="ESC3" s="964"/>
      <c r="ESD3" s="964"/>
      <c r="ESE3" s="964"/>
      <c r="ESF3" s="964"/>
      <c r="ESG3" s="964"/>
      <c r="ESH3" s="964"/>
      <c r="ESI3" s="964"/>
      <c r="ESJ3" s="964"/>
      <c r="ESK3" s="964"/>
      <c r="ESL3" s="964"/>
      <c r="ESM3" s="964"/>
      <c r="ESN3" s="964"/>
      <c r="ESO3" s="964"/>
      <c r="ESP3" s="964"/>
      <c r="ESQ3" s="964"/>
      <c r="ESR3" s="964"/>
      <c r="ESS3" s="964"/>
      <c r="EST3" s="964"/>
      <c r="ESU3" s="964"/>
      <c r="ESV3" s="964"/>
      <c r="ESW3" s="964"/>
      <c r="ESX3" s="964"/>
      <c r="ESY3" s="964"/>
      <c r="ESZ3" s="964"/>
      <c r="ETA3" s="964"/>
      <c r="ETB3" s="964"/>
      <c r="ETC3" s="964"/>
      <c r="ETD3" s="964"/>
      <c r="ETE3" s="964"/>
      <c r="ETF3" s="964"/>
      <c r="ETG3" s="964"/>
      <c r="ETH3" s="964"/>
      <c r="ETI3" s="964"/>
      <c r="ETJ3" s="964"/>
      <c r="ETK3" s="964"/>
      <c r="ETL3" s="964"/>
      <c r="ETM3" s="964"/>
      <c r="ETN3" s="964"/>
      <c r="ETO3" s="964"/>
      <c r="ETP3" s="964"/>
      <c r="ETQ3" s="964"/>
      <c r="ETR3" s="964"/>
      <c r="ETS3" s="964"/>
      <c r="ETT3" s="964"/>
      <c r="ETU3" s="964"/>
      <c r="ETV3" s="964"/>
      <c r="ETW3" s="964"/>
      <c r="ETX3" s="964"/>
      <c r="ETY3" s="964"/>
      <c r="ETZ3" s="964"/>
      <c r="EUA3" s="964"/>
      <c r="EUB3" s="964"/>
      <c r="EUC3" s="964"/>
      <c r="EUD3" s="964"/>
      <c r="EUE3" s="964"/>
      <c r="EUF3" s="964"/>
      <c r="EUG3" s="964"/>
      <c r="EUH3" s="964"/>
      <c r="EUI3" s="964"/>
      <c r="EUJ3" s="964"/>
      <c r="EUK3" s="964"/>
      <c r="EUL3" s="964"/>
      <c r="EUM3" s="964"/>
      <c r="EUN3" s="964"/>
      <c r="EUO3" s="964"/>
      <c r="EUP3" s="964"/>
      <c r="EUQ3" s="964"/>
      <c r="EUR3" s="964"/>
      <c r="EUS3" s="964"/>
      <c r="EUT3" s="964"/>
      <c r="EUU3" s="964"/>
      <c r="EUV3" s="964"/>
      <c r="EUW3" s="964"/>
      <c r="EUX3" s="964"/>
      <c r="EUY3" s="964"/>
      <c r="EUZ3" s="964"/>
      <c r="EVA3" s="964"/>
      <c r="EVB3" s="964"/>
      <c r="EVC3" s="964"/>
      <c r="EVD3" s="964"/>
      <c r="EVE3" s="964"/>
      <c r="EVF3" s="964"/>
      <c r="EVG3" s="964"/>
      <c r="EVH3" s="964"/>
      <c r="EVI3" s="964"/>
      <c r="EVJ3" s="964"/>
      <c r="EVK3" s="964"/>
      <c r="EVL3" s="964"/>
      <c r="EVM3" s="964"/>
      <c r="EVN3" s="964"/>
      <c r="EVO3" s="964"/>
      <c r="EVP3" s="964"/>
      <c r="EVQ3" s="964"/>
      <c r="EVR3" s="964"/>
      <c r="EVS3" s="964"/>
      <c r="EVT3" s="964"/>
      <c r="EVU3" s="964"/>
      <c r="EVV3" s="964"/>
      <c r="EVW3" s="964"/>
      <c r="EVX3" s="964"/>
      <c r="EVY3" s="964"/>
      <c r="EVZ3" s="964"/>
      <c r="EWA3" s="964"/>
      <c r="EWB3" s="964"/>
      <c r="EWC3" s="964"/>
      <c r="EWD3" s="964"/>
      <c r="EWE3" s="964"/>
      <c r="EWF3" s="964"/>
      <c r="EWG3" s="964"/>
      <c r="EWH3" s="964"/>
      <c r="EWI3" s="964"/>
      <c r="EWJ3" s="964"/>
      <c r="EWK3" s="964"/>
      <c r="EWL3" s="964"/>
      <c r="EWM3" s="964"/>
      <c r="EWN3" s="964"/>
      <c r="EWO3" s="964"/>
      <c r="EWP3" s="964"/>
      <c r="EWQ3" s="964"/>
      <c r="EWR3" s="964"/>
      <c r="EWS3" s="964"/>
      <c r="EWT3" s="964"/>
      <c r="EWU3" s="964"/>
      <c r="EWV3" s="964"/>
      <c r="EWW3" s="964"/>
      <c r="EWX3" s="964"/>
      <c r="EWY3" s="964"/>
      <c r="EWZ3" s="964"/>
      <c r="EXA3" s="964"/>
      <c r="EXB3" s="964"/>
      <c r="EXC3" s="964"/>
      <c r="EXD3" s="964"/>
      <c r="EXE3" s="964"/>
      <c r="EXF3" s="964"/>
      <c r="EXG3" s="964"/>
      <c r="EXH3" s="964"/>
      <c r="EXI3" s="964"/>
      <c r="EXJ3" s="964"/>
      <c r="EXK3" s="964"/>
      <c r="EXL3" s="964"/>
      <c r="EXM3" s="964"/>
      <c r="EXN3" s="964"/>
      <c r="EXO3" s="964"/>
      <c r="EXP3" s="964"/>
      <c r="EXQ3" s="964"/>
      <c r="EXR3" s="964"/>
      <c r="EXS3" s="964"/>
      <c r="EXT3" s="964"/>
      <c r="EXU3" s="964"/>
      <c r="EXV3" s="964"/>
      <c r="EXW3" s="964"/>
      <c r="EXX3" s="964"/>
      <c r="EXY3" s="964"/>
      <c r="EXZ3" s="964"/>
      <c r="EYA3" s="964"/>
      <c r="EYB3" s="964"/>
      <c r="EYC3" s="964"/>
      <c r="EYD3" s="964"/>
      <c r="EYE3" s="964"/>
      <c r="EYF3" s="964"/>
      <c r="EYG3" s="964"/>
      <c r="EYH3" s="964"/>
      <c r="EYI3" s="964"/>
      <c r="EYJ3" s="964"/>
      <c r="EYK3" s="964"/>
      <c r="EYL3" s="964"/>
      <c r="EYM3" s="964"/>
      <c r="EYN3" s="964"/>
      <c r="EYO3" s="964"/>
      <c r="EYP3" s="964"/>
      <c r="EYQ3" s="964"/>
      <c r="EYR3" s="964"/>
      <c r="EYS3" s="964"/>
      <c r="EYT3" s="964"/>
      <c r="EYU3" s="964"/>
      <c r="EYV3" s="964"/>
      <c r="EYW3" s="964"/>
      <c r="EYX3" s="964"/>
      <c r="EYY3" s="964"/>
      <c r="EYZ3" s="964"/>
      <c r="EZA3" s="964"/>
      <c r="EZB3" s="964"/>
      <c r="EZC3" s="964"/>
      <c r="EZD3" s="964"/>
      <c r="EZE3" s="964"/>
      <c r="EZF3" s="964"/>
      <c r="EZG3" s="964"/>
      <c r="EZH3" s="964"/>
      <c r="EZI3" s="964"/>
      <c r="EZJ3" s="964"/>
      <c r="EZK3" s="964"/>
      <c r="EZL3" s="964"/>
      <c r="EZM3" s="964"/>
      <c r="EZN3" s="964"/>
      <c r="EZO3" s="964"/>
      <c r="EZP3" s="964"/>
      <c r="EZQ3" s="964"/>
      <c r="EZR3" s="964"/>
      <c r="EZS3" s="964"/>
      <c r="EZT3" s="964"/>
      <c r="EZU3" s="964"/>
      <c r="EZV3" s="964"/>
      <c r="EZW3" s="964"/>
      <c r="EZX3" s="964"/>
      <c r="EZY3" s="964"/>
      <c r="EZZ3" s="964"/>
      <c r="FAA3" s="964"/>
      <c r="FAB3" s="964"/>
      <c r="FAC3" s="964"/>
      <c r="FAD3" s="964"/>
      <c r="FAE3" s="964"/>
      <c r="FAF3" s="964"/>
      <c r="FAG3" s="964"/>
      <c r="FAH3" s="964"/>
      <c r="FAI3" s="964"/>
      <c r="FAJ3" s="964"/>
      <c r="FAK3" s="964"/>
      <c r="FAL3" s="964"/>
      <c r="FAM3" s="964"/>
      <c r="FAN3" s="964"/>
      <c r="FAO3" s="964"/>
      <c r="FAP3" s="964"/>
      <c r="FAQ3" s="964"/>
      <c r="FAR3" s="964"/>
      <c r="FAS3" s="964"/>
      <c r="FAT3" s="964"/>
      <c r="FAU3" s="964"/>
      <c r="FAV3" s="964"/>
      <c r="FAW3" s="964"/>
      <c r="FAX3" s="964"/>
      <c r="FAY3" s="964"/>
      <c r="FAZ3" s="964"/>
      <c r="FBA3" s="964"/>
      <c r="FBB3" s="964"/>
      <c r="FBC3" s="964"/>
      <c r="FBD3" s="964"/>
      <c r="FBE3" s="964"/>
      <c r="FBF3" s="964"/>
      <c r="FBG3" s="964"/>
      <c r="FBH3" s="964"/>
      <c r="FBI3" s="964"/>
      <c r="FBJ3" s="964"/>
      <c r="FBK3" s="964"/>
      <c r="FBL3" s="964"/>
      <c r="FBM3" s="964"/>
      <c r="FBN3" s="964"/>
      <c r="FBO3" s="964"/>
      <c r="FBP3" s="964"/>
      <c r="FBQ3" s="964"/>
      <c r="FBR3" s="964"/>
      <c r="FBS3" s="964"/>
      <c r="FBT3" s="964"/>
      <c r="FBU3" s="964"/>
      <c r="FBV3" s="964"/>
      <c r="FBW3" s="964"/>
      <c r="FBX3" s="964"/>
      <c r="FBY3" s="964"/>
      <c r="FBZ3" s="964"/>
      <c r="FCA3" s="964"/>
      <c r="FCB3" s="964"/>
      <c r="FCC3" s="964"/>
      <c r="FCD3" s="964"/>
      <c r="FCE3" s="964"/>
      <c r="FCF3" s="964"/>
      <c r="FCG3" s="964"/>
      <c r="FCH3" s="964"/>
      <c r="FCI3" s="964"/>
      <c r="FCJ3" s="964"/>
      <c r="FCK3" s="964"/>
      <c r="FCL3" s="964"/>
      <c r="FCM3" s="964"/>
      <c r="FCN3" s="964"/>
      <c r="FCO3" s="964"/>
      <c r="FCP3" s="964"/>
      <c r="FCQ3" s="964"/>
      <c r="FCR3" s="964"/>
      <c r="FCS3" s="964"/>
      <c r="FCT3" s="964"/>
      <c r="FCU3" s="964"/>
      <c r="FCV3" s="964"/>
      <c r="FCW3" s="964"/>
      <c r="FCX3" s="964"/>
      <c r="FCY3" s="964"/>
      <c r="FCZ3" s="964"/>
      <c r="FDA3" s="964"/>
      <c r="FDB3" s="964"/>
      <c r="FDC3" s="964"/>
      <c r="FDD3" s="964"/>
      <c r="FDE3" s="964"/>
      <c r="FDF3" s="964"/>
      <c r="FDG3" s="964"/>
      <c r="FDH3" s="964"/>
      <c r="FDI3" s="964"/>
      <c r="FDJ3" s="964"/>
      <c r="FDK3" s="964"/>
      <c r="FDL3" s="964"/>
      <c r="FDM3" s="964"/>
      <c r="FDN3" s="964"/>
      <c r="FDO3" s="964"/>
      <c r="FDP3" s="964"/>
      <c r="FDQ3" s="964"/>
      <c r="FDR3" s="964"/>
      <c r="FDS3" s="964"/>
      <c r="FDT3" s="964"/>
      <c r="FDU3" s="964"/>
      <c r="FDV3" s="964"/>
      <c r="FDW3" s="964"/>
      <c r="FDX3" s="964"/>
      <c r="FDY3" s="964"/>
      <c r="FDZ3" s="964"/>
      <c r="FEA3" s="964"/>
      <c r="FEB3" s="964"/>
      <c r="FEC3" s="964"/>
      <c r="FED3" s="964"/>
      <c r="FEE3" s="964"/>
      <c r="FEF3" s="964"/>
      <c r="FEG3" s="964"/>
      <c r="FEH3" s="964"/>
      <c r="FEI3" s="964"/>
      <c r="FEJ3" s="964"/>
      <c r="FEK3" s="964"/>
      <c r="FEL3" s="964"/>
      <c r="FEM3" s="964"/>
      <c r="FEN3" s="964"/>
      <c r="FEO3" s="964"/>
      <c r="FEP3" s="964"/>
      <c r="FEQ3" s="964"/>
      <c r="FER3" s="964"/>
      <c r="FES3" s="964"/>
      <c r="FET3" s="964"/>
      <c r="FEU3" s="964"/>
      <c r="FEV3" s="964"/>
      <c r="FEW3" s="964"/>
      <c r="FEX3" s="964"/>
      <c r="FEY3" s="964"/>
      <c r="FEZ3" s="964"/>
      <c r="FFA3" s="964"/>
      <c r="FFB3" s="964"/>
      <c r="FFC3" s="964"/>
      <c r="FFD3" s="964"/>
      <c r="FFE3" s="964"/>
      <c r="FFF3" s="964"/>
      <c r="FFG3" s="964"/>
      <c r="FFH3" s="964"/>
      <c r="FFI3" s="964"/>
      <c r="FFJ3" s="964"/>
      <c r="FFK3" s="964"/>
      <c r="FFL3" s="964"/>
      <c r="FFM3" s="964"/>
      <c r="FFN3" s="964"/>
      <c r="FFO3" s="964"/>
      <c r="FFP3" s="964"/>
      <c r="FFQ3" s="964"/>
      <c r="FFR3" s="964"/>
      <c r="FFS3" s="964"/>
      <c r="FFT3" s="964"/>
      <c r="FFU3" s="964"/>
      <c r="FFV3" s="964"/>
      <c r="FFW3" s="964"/>
      <c r="FFX3" s="964"/>
      <c r="FFY3" s="964"/>
      <c r="FFZ3" s="964"/>
      <c r="FGA3" s="964"/>
      <c r="FGB3" s="964"/>
      <c r="FGC3" s="964"/>
      <c r="FGD3" s="964"/>
      <c r="FGE3" s="964"/>
      <c r="FGF3" s="964"/>
      <c r="FGG3" s="964"/>
      <c r="FGH3" s="964"/>
      <c r="FGI3" s="964"/>
      <c r="FGJ3" s="964"/>
      <c r="FGK3" s="964"/>
      <c r="FGL3" s="964"/>
      <c r="FGM3" s="964"/>
      <c r="FGN3" s="964"/>
      <c r="FGO3" s="964"/>
      <c r="FGP3" s="964"/>
      <c r="FGQ3" s="964"/>
      <c r="FGR3" s="964"/>
      <c r="FGS3" s="964"/>
      <c r="FGT3" s="964"/>
      <c r="FGU3" s="964"/>
      <c r="FGV3" s="964"/>
      <c r="FGW3" s="964"/>
      <c r="FGX3" s="964"/>
      <c r="FGY3" s="964"/>
      <c r="FGZ3" s="964"/>
      <c r="FHA3" s="964"/>
      <c r="FHB3" s="964"/>
      <c r="FHC3" s="964"/>
      <c r="FHD3" s="964"/>
      <c r="FHE3" s="964"/>
      <c r="FHF3" s="964"/>
      <c r="FHG3" s="964"/>
      <c r="FHH3" s="964"/>
      <c r="FHI3" s="964"/>
      <c r="FHJ3" s="964"/>
      <c r="FHK3" s="964"/>
      <c r="FHL3" s="964"/>
      <c r="FHM3" s="964"/>
      <c r="FHN3" s="964"/>
      <c r="FHO3" s="964"/>
      <c r="FHP3" s="964"/>
      <c r="FHQ3" s="964"/>
      <c r="FHR3" s="964"/>
      <c r="FHS3" s="964"/>
      <c r="FHT3" s="964"/>
      <c r="FHU3" s="964"/>
      <c r="FHV3" s="964"/>
      <c r="FHW3" s="964"/>
      <c r="FHX3" s="964"/>
      <c r="FHY3" s="964"/>
      <c r="FHZ3" s="964"/>
      <c r="FIA3" s="964"/>
      <c r="FIB3" s="964"/>
      <c r="FIC3" s="964"/>
      <c r="FID3" s="964"/>
      <c r="FIE3" s="964"/>
      <c r="FIF3" s="964"/>
      <c r="FIG3" s="964"/>
      <c r="FIH3" s="964"/>
      <c r="FII3" s="964"/>
      <c r="FIJ3" s="964"/>
      <c r="FIK3" s="964"/>
      <c r="FIL3" s="964"/>
      <c r="FIM3" s="964"/>
      <c r="FIN3" s="964"/>
      <c r="FIO3" s="964"/>
      <c r="FIP3" s="964"/>
      <c r="FIQ3" s="964"/>
      <c r="FIR3" s="964"/>
      <c r="FIS3" s="964"/>
      <c r="FIT3" s="964"/>
      <c r="FIU3" s="964"/>
      <c r="FIV3" s="964"/>
      <c r="FIW3" s="964"/>
      <c r="FIX3" s="964"/>
      <c r="FIY3" s="964"/>
      <c r="FIZ3" s="964"/>
      <c r="FJA3" s="964"/>
      <c r="FJB3" s="964"/>
      <c r="FJC3" s="964"/>
      <c r="FJD3" s="964"/>
      <c r="FJE3" s="964"/>
      <c r="FJF3" s="964"/>
      <c r="FJG3" s="964"/>
      <c r="FJH3" s="964"/>
      <c r="FJI3" s="964"/>
      <c r="FJJ3" s="964"/>
      <c r="FJK3" s="964"/>
      <c r="FJL3" s="964"/>
      <c r="FJM3" s="964"/>
      <c r="FJN3" s="964"/>
      <c r="FJO3" s="964"/>
      <c r="FJP3" s="964"/>
      <c r="FJQ3" s="964"/>
      <c r="FJR3" s="964"/>
      <c r="FJS3" s="964"/>
      <c r="FJT3" s="964"/>
      <c r="FJU3" s="964"/>
      <c r="FJV3" s="964"/>
      <c r="FJW3" s="964"/>
      <c r="FJX3" s="964"/>
      <c r="FJY3" s="964"/>
      <c r="FJZ3" s="964"/>
      <c r="FKA3" s="964"/>
      <c r="FKB3" s="964"/>
      <c r="FKC3" s="964"/>
      <c r="FKD3" s="964"/>
      <c r="FKE3" s="964"/>
      <c r="FKF3" s="964"/>
      <c r="FKG3" s="964"/>
      <c r="FKH3" s="964"/>
      <c r="FKI3" s="964"/>
      <c r="FKJ3" s="964"/>
      <c r="FKK3" s="964"/>
      <c r="FKL3" s="964"/>
      <c r="FKM3" s="964"/>
      <c r="FKN3" s="964"/>
      <c r="FKO3" s="964"/>
      <c r="FKP3" s="964"/>
      <c r="FKQ3" s="964"/>
      <c r="FKR3" s="964"/>
      <c r="FKS3" s="964"/>
      <c r="FKT3" s="964"/>
      <c r="FKU3" s="964"/>
      <c r="FKV3" s="964"/>
      <c r="FKW3" s="964"/>
      <c r="FKX3" s="964"/>
      <c r="FKY3" s="964"/>
      <c r="FKZ3" s="964"/>
      <c r="FLA3" s="964"/>
      <c r="FLB3" s="964"/>
      <c r="FLC3" s="964"/>
      <c r="FLD3" s="964"/>
      <c r="FLE3" s="964"/>
      <c r="FLF3" s="964"/>
      <c r="FLG3" s="964"/>
      <c r="FLH3" s="964"/>
      <c r="FLI3" s="964"/>
      <c r="FLJ3" s="964"/>
      <c r="FLK3" s="964"/>
      <c r="FLL3" s="964"/>
      <c r="FLM3" s="964"/>
      <c r="FLN3" s="964"/>
      <c r="FLO3" s="964"/>
      <c r="FLP3" s="964"/>
      <c r="FLQ3" s="964"/>
      <c r="FLR3" s="964"/>
      <c r="FLS3" s="964"/>
      <c r="FLT3" s="964"/>
      <c r="FLU3" s="964"/>
      <c r="FLV3" s="964"/>
      <c r="FLW3" s="964"/>
      <c r="FLX3" s="964"/>
      <c r="FLY3" s="964"/>
      <c r="FLZ3" s="964"/>
      <c r="FMA3" s="964"/>
      <c r="FMB3" s="964"/>
      <c r="FMC3" s="964"/>
      <c r="FMD3" s="964"/>
      <c r="FME3" s="964"/>
      <c r="FMF3" s="964"/>
      <c r="FMG3" s="964"/>
      <c r="FMH3" s="964"/>
      <c r="FMI3" s="964"/>
      <c r="FMJ3" s="964"/>
      <c r="FMK3" s="964"/>
      <c r="FML3" s="964"/>
      <c r="FMM3" s="964"/>
      <c r="FMN3" s="964"/>
      <c r="FMO3" s="964"/>
      <c r="FMP3" s="964"/>
      <c r="FMQ3" s="964"/>
      <c r="FMR3" s="964"/>
      <c r="FMS3" s="964"/>
      <c r="FMT3" s="964"/>
      <c r="FMU3" s="964"/>
      <c r="FMV3" s="964"/>
      <c r="FMW3" s="964"/>
      <c r="FMX3" s="964"/>
      <c r="FMY3" s="964"/>
      <c r="FMZ3" s="964"/>
      <c r="FNA3" s="964"/>
      <c r="FNB3" s="964"/>
      <c r="FNC3" s="964"/>
      <c r="FND3" s="964"/>
      <c r="FNE3" s="964"/>
      <c r="FNF3" s="964"/>
      <c r="FNG3" s="964"/>
      <c r="FNH3" s="964"/>
      <c r="FNI3" s="964"/>
      <c r="FNJ3" s="964"/>
      <c r="FNK3" s="964"/>
      <c r="FNL3" s="964"/>
      <c r="FNM3" s="964"/>
      <c r="FNN3" s="964"/>
      <c r="FNO3" s="964"/>
      <c r="FNP3" s="964"/>
      <c r="FNQ3" s="964"/>
      <c r="FNR3" s="964"/>
      <c r="FNS3" s="964"/>
      <c r="FNT3" s="964"/>
      <c r="FNU3" s="964"/>
      <c r="FNV3" s="964"/>
      <c r="FNW3" s="964"/>
      <c r="FNX3" s="964"/>
      <c r="FNY3" s="964"/>
      <c r="FNZ3" s="964"/>
      <c r="FOA3" s="964"/>
      <c r="FOB3" s="964"/>
      <c r="FOC3" s="964"/>
      <c r="FOD3" s="964"/>
      <c r="FOE3" s="964"/>
      <c r="FOF3" s="964"/>
      <c r="FOG3" s="964"/>
      <c r="FOH3" s="964"/>
      <c r="FOI3" s="964"/>
      <c r="FOJ3" s="964"/>
      <c r="FOK3" s="964"/>
      <c r="FOL3" s="964"/>
      <c r="FOM3" s="964"/>
      <c r="FON3" s="964"/>
      <c r="FOO3" s="964"/>
      <c r="FOP3" s="964"/>
      <c r="FOQ3" s="964"/>
      <c r="FOR3" s="964"/>
      <c r="FOS3" s="964"/>
      <c r="FOT3" s="964"/>
      <c r="FOU3" s="964"/>
      <c r="FOV3" s="964"/>
      <c r="FOW3" s="964"/>
      <c r="FOX3" s="964"/>
      <c r="FOY3" s="964"/>
      <c r="FOZ3" s="964"/>
      <c r="FPA3" s="964"/>
      <c r="FPB3" s="964"/>
      <c r="FPC3" s="964"/>
      <c r="FPD3" s="964"/>
      <c r="FPE3" s="964"/>
      <c r="FPF3" s="964"/>
      <c r="FPG3" s="964"/>
      <c r="FPH3" s="964"/>
      <c r="FPI3" s="964"/>
      <c r="FPJ3" s="964"/>
      <c r="FPK3" s="964"/>
      <c r="FPL3" s="964"/>
      <c r="FPM3" s="964"/>
      <c r="FPN3" s="964"/>
      <c r="FPO3" s="964"/>
      <c r="FPP3" s="964"/>
      <c r="FPQ3" s="964"/>
      <c r="FPR3" s="964"/>
      <c r="FPS3" s="964"/>
      <c r="FPT3" s="964"/>
      <c r="FPU3" s="964"/>
      <c r="FPV3" s="964"/>
      <c r="FPW3" s="964"/>
      <c r="FPX3" s="964"/>
      <c r="FPY3" s="964"/>
      <c r="FPZ3" s="964"/>
      <c r="FQA3" s="964"/>
      <c r="FQB3" s="964"/>
      <c r="FQC3" s="964"/>
      <c r="FQD3" s="964"/>
      <c r="FQE3" s="964"/>
      <c r="FQF3" s="964"/>
      <c r="FQG3" s="964"/>
      <c r="FQH3" s="964"/>
      <c r="FQI3" s="964"/>
      <c r="FQJ3" s="964"/>
      <c r="FQK3" s="964"/>
      <c r="FQL3" s="964"/>
      <c r="FQM3" s="964"/>
      <c r="FQN3" s="964"/>
      <c r="FQO3" s="964"/>
      <c r="FQP3" s="964"/>
      <c r="FQQ3" s="964"/>
      <c r="FQR3" s="964"/>
      <c r="FQS3" s="964"/>
      <c r="FQT3" s="964"/>
      <c r="FQU3" s="964"/>
      <c r="FQV3" s="964"/>
      <c r="FQW3" s="964"/>
      <c r="FQX3" s="964"/>
      <c r="FQY3" s="964"/>
      <c r="FQZ3" s="964"/>
      <c r="FRA3" s="964"/>
      <c r="FRB3" s="964"/>
      <c r="FRC3" s="964"/>
      <c r="FRD3" s="964"/>
      <c r="FRE3" s="964"/>
      <c r="FRF3" s="964"/>
      <c r="FRG3" s="964"/>
      <c r="FRH3" s="964"/>
      <c r="FRI3" s="964"/>
      <c r="FRJ3" s="964"/>
      <c r="FRK3" s="964"/>
      <c r="FRL3" s="964"/>
      <c r="FRM3" s="964"/>
      <c r="FRN3" s="964"/>
      <c r="FRO3" s="964"/>
      <c r="FRP3" s="964"/>
      <c r="FRQ3" s="964"/>
      <c r="FRR3" s="964"/>
      <c r="FRS3" s="964"/>
      <c r="FRT3" s="964"/>
      <c r="FRU3" s="964"/>
      <c r="FRV3" s="964"/>
      <c r="FRW3" s="964"/>
      <c r="FRX3" s="964"/>
      <c r="FRY3" s="964"/>
      <c r="FRZ3" s="964"/>
      <c r="FSA3" s="964"/>
      <c r="FSB3" s="964"/>
      <c r="FSC3" s="964"/>
      <c r="FSD3" s="964"/>
      <c r="FSE3" s="964"/>
      <c r="FSF3" s="964"/>
      <c r="FSG3" s="964"/>
      <c r="FSH3" s="964"/>
      <c r="FSI3" s="964"/>
      <c r="FSJ3" s="964"/>
      <c r="FSK3" s="964"/>
      <c r="FSL3" s="964"/>
      <c r="FSM3" s="964"/>
      <c r="FSN3" s="964"/>
      <c r="FSO3" s="964"/>
      <c r="FSP3" s="964"/>
      <c r="FSQ3" s="964"/>
      <c r="FSR3" s="964"/>
      <c r="FSS3" s="964"/>
      <c r="FST3" s="964"/>
      <c r="FSU3" s="964"/>
      <c r="FSV3" s="964"/>
      <c r="FSW3" s="964"/>
      <c r="FSX3" s="964"/>
      <c r="FSY3" s="964"/>
      <c r="FSZ3" s="964"/>
      <c r="FTA3" s="964"/>
      <c r="FTB3" s="964"/>
      <c r="FTC3" s="964"/>
      <c r="FTD3" s="964"/>
      <c r="FTE3" s="964"/>
      <c r="FTF3" s="964"/>
      <c r="FTG3" s="964"/>
      <c r="FTH3" s="964"/>
      <c r="FTI3" s="964"/>
      <c r="FTJ3" s="964"/>
      <c r="FTK3" s="964"/>
      <c r="FTL3" s="964"/>
      <c r="FTM3" s="964"/>
      <c r="FTN3" s="964"/>
      <c r="FTO3" s="964"/>
      <c r="FTP3" s="964"/>
      <c r="FTQ3" s="964"/>
      <c r="FTR3" s="964"/>
      <c r="FTS3" s="964"/>
      <c r="FTT3" s="964"/>
      <c r="FTU3" s="964"/>
      <c r="FTV3" s="964"/>
      <c r="FTW3" s="964"/>
      <c r="FTX3" s="964"/>
      <c r="FTY3" s="964"/>
      <c r="FTZ3" s="964"/>
      <c r="FUA3" s="964"/>
      <c r="FUB3" s="964"/>
      <c r="FUC3" s="964"/>
      <c r="FUD3" s="964"/>
      <c r="FUE3" s="964"/>
      <c r="FUF3" s="964"/>
      <c r="FUG3" s="964"/>
      <c r="FUH3" s="964"/>
      <c r="FUI3" s="964"/>
      <c r="FUJ3" s="964"/>
      <c r="FUK3" s="964"/>
      <c r="FUL3" s="964"/>
      <c r="FUM3" s="964"/>
      <c r="FUN3" s="964"/>
      <c r="FUO3" s="964"/>
      <c r="FUP3" s="964"/>
      <c r="FUQ3" s="964"/>
      <c r="FUR3" s="964"/>
      <c r="FUS3" s="964"/>
      <c r="FUT3" s="964"/>
      <c r="FUU3" s="964"/>
      <c r="FUV3" s="964"/>
      <c r="FUW3" s="964"/>
      <c r="FUX3" s="964"/>
      <c r="FUY3" s="964"/>
      <c r="FUZ3" s="964"/>
      <c r="FVA3" s="964"/>
      <c r="FVB3" s="964"/>
      <c r="FVC3" s="964"/>
      <c r="FVD3" s="964"/>
      <c r="FVE3" s="964"/>
      <c r="FVF3" s="964"/>
      <c r="FVG3" s="964"/>
      <c r="FVH3" s="964"/>
      <c r="FVI3" s="964"/>
      <c r="FVJ3" s="964"/>
      <c r="FVK3" s="964"/>
      <c r="FVL3" s="964"/>
      <c r="FVM3" s="964"/>
      <c r="FVN3" s="964"/>
      <c r="FVO3" s="964"/>
      <c r="FVP3" s="964"/>
      <c r="FVQ3" s="964"/>
      <c r="FVR3" s="964"/>
      <c r="FVS3" s="964"/>
      <c r="FVT3" s="964"/>
      <c r="FVU3" s="964"/>
      <c r="FVV3" s="964"/>
      <c r="FVW3" s="964"/>
      <c r="FVX3" s="964"/>
      <c r="FVY3" s="964"/>
      <c r="FVZ3" s="964"/>
      <c r="FWA3" s="964"/>
      <c r="FWB3" s="964"/>
      <c r="FWC3" s="964"/>
      <c r="FWD3" s="964"/>
      <c r="FWE3" s="964"/>
      <c r="FWF3" s="964"/>
      <c r="FWG3" s="964"/>
      <c r="FWH3" s="964"/>
      <c r="FWI3" s="964"/>
      <c r="FWJ3" s="964"/>
      <c r="FWK3" s="964"/>
      <c r="FWL3" s="964"/>
      <c r="FWM3" s="964"/>
      <c r="FWN3" s="964"/>
      <c r="FWO3" s="964"/>
      <c r="FWP3" s="964"/>
      <c r="FWQ3" s="964"/>
      <c r="FWR3" s="964"/>
      <c r="FWS3" s="964"/>
      <c r="FWT3" s="964"/>
      <c r="FWU3" s="964"/>
      <c r="FWV3" s="964"/>
      <c r="FWW3" s="964"/>
      <c r="FWX3" s="964"/>
      <c r="FWY3" s="964"/>
      <c r="FWZ3" s="964"/>
      <c r="FXA3" s="964"/>
      <c r="FXB3" s="964"/>
      <c r="FXC3" s="964"/>
      <c r="FXD3" s="964"/>
      <c r="FXE3" s="964"/>
      <c r="FXF3" s="964"/>
      <c r="FXG3" s="964"/>
      <c r="FXH3" s="964"/>
      <c r="FXI3" s="964"/>
      <c r="FXJ3" s="964"/>
      <c r="FXK3" s="964"/>
      <c r="FXL3" s="964"/>
      <c r="FXM3" s="964"/>
      <c r="FXN3" s="964"/>
      <c r="FXO3" s="964"/>
      <c r="FXP3" s="964"/>
      <c r="FXQ3" s="964"/>
      <c r="FXR3" s="964"/>
      <c r="FXS3" s="964"/>
      <c r="FXT3" s="964"/>
      <c r="FXU3" s="964"/>
      <c r="FXV3" s="964"/>
      <c r="FXW3" s="964"/>
      <c r="FXX3" s="964"/>
      <c r="FXY3" s="964"/>
      <c r="FXZ3" s="964"/>
      <c r="FYA3" s="964"/>
      <c r="FYB3" s="964"/>
      <c r="FYC3" s="964"/>
      <c r="FYD3" s="964"/>
      <c r="FYE3" s="964"/>
      <c r="FYF3" s="964"/>
      <c r="FYG3" s="964"/>
      <c r="FYH3" s="964"/>
      <c r="FYI3" s="964"/>
      <c r="FYJ3" s="964"/>
      <c r="FYK3" s="964"/>
      <c r="FYL3" s="964"/>
      <c r="FYM3" s="964"/>
      <c r="FYN3" s="964"/>
      <c r="FYO3" s="964"/>
      <c r="FYP3" s="964"/>
      <c r="FYQ3" s="964"/>
      <c r="FYR3" s="964"/>
      <c r="FYS3" s="964"/>
      <c r="FYT3" s="964"/>
      <c r="FYU3" s="964"/>
      <c r="FYV3" s="964"/>
      <c r="FYW3" s="964"/>
      <c r="FYX3" s="964"/>
      <c r="FYY3" s="964"/>
      <c r="FYZ3" s="964"/>
      <c r="FZA3" s="964"/>
      <c r="FZB3" s="964"/>
      <c r="FZC3" s="964"/>
      <c r="FZD3" s="964"/>
      <c r="FZE3" s="964"/>
      <c r="FZF3" s="964"/>
      <c r="FZG3" s="964"/>
      <c r="FZH3" s="964"/>
      <c r="FZI3" s="964"/>
      <c r="FZJ3" s="964"/>
      <c r="FZK3" s="964"/>
      <c r="FZL3" s="964"/>
      <c r="FZM3" s="964"/>
      <c r="FZN3" s="964"/>
      <c r="FZO3" s="964"/>
      <c r="FZP3" s="964"/>
      <c r="FZQ3" s="964"/>
      <c r="FZR3" s="964"/>
      <c r="FZS3" s="964"/>
      <c r="FZT3" s="964"/>
      <c r="FZU3" s="964"/>
      <c r="FZV3" s="964"/>
      <c r="FZW3" s="964"/>
      <c r="FZX3" s="964"/>
      <c r="FZY3" s="964"/>
      <c r="FZZ3" s="964"/>
      <c r="GAA3" s="964"/>
      <c r="GAB3" s="964"/>
      <c r="GAC3" s="964"/>
      <c r="GAD3" s="964"/>
      <c r="GAE3" s="964"/>
      <c r="GAF3" s="964"/>
      <c r="GAG3" s="964"/>
      <c r="GAH3" s="964"/>
      <c r="GAI3" s="964"/>
      <c r="GAJ3" s="964"/>
      <c r="GAK3" s="964"/>
      <c r="GAL3" s="964"/>
      <c r="GAM3" s="964"/>
      <c r="GAN3" s="964"/>
      <c r="GAO3" s="964"/>
      <c r="GAP3" s="964"/>
      <c r="GAQ3" s="964"/>
      <c r="GAR3" s="964"/>
      <c r="GAS3" s="964"/>
      <c r="GAT3" s="964"/>
      <c r="GAU3" s="964"/>
      <c r="GAV3" s="964"/>
      <c r="GAW3" s="964"/>
      <c r="GAX3" s="964"/>
      <c r="GAY3" s="964"/>
      <c r="GAZ3" s="964"/>
      <c r="GBA3" s="964"/>
      <c r="GBB3" s="964"/>
      <c r="GBC3" s="964"/>
      <c r="GBD3" s="964"/>
      <c r="GBE3" s="964"/>
      <c r="GBF3" s="964"/>
      <c r="GBG3" s="964"/>
      <c r="GBH3" s="964"/>
      <c r="GBI3" s="964"/>
      <c r="GBJ3" s="964"/>
      <c r="GBK3" s="964"/>
      <c r="GBL3" s="964"/>
      <c r="GBM3" s="964"/>
      <c r="GBN3" s="964"/>
      <c r="GBO3" s="964"/>
      <c r="GBP3" s="964"/>
      <c r="GBQ3" s="964"/>
      <c r="GBR3" s="964"/>
      <c r="GBS3" s="964"/>
      <c r="GBT3" s="964"/>
      <c r="GBU3" s="964"/>
      <c r="GBV3" s="964"/>
      <c r="GBW3" s="964"/>
      <c r="GBX3" s="964"/>
      <c r="GBY3" s="964"/>
      <c r="GBZ3" s="964"/>
      <c r="GCA3" s="964"/>
      <c r="GCB3" s="964"/>
      <c r="GCC3" s="964"/>
      <c r="GCD3" s="964"/>
      <c r="GCE3" s="964"/>
      <c r="GCF3" s="964"/>
      <c r="GCG3" s="964"/>
      <c r="GCH3" s="964"/>
      <c r="GCI3" s="964"/>
      <c r="GCJ3" s="964"/>
      <c r="GCK3" s="964"/>
      <c r="GCL3" s="964"/>
      <c r="GCM3" s="964"/>
      <c r="GCN3" s="964"/>
      <c r="GCO3" s="964"/>
      <c r="GCP3" s="964"/>
      <c r="GCQ3" s="964"/>
      <c r="GCR3" s="964"/>
      <c r="GCS3" s="964"/>
      <c r="GCT3" s="964"/>
      <c r="GCU3" s="964"/>
      <c r="GCV3" s="964"/>
      <c r="GCW3" s="964"/>
      <c r="GCX3" s="964"/>
      <c r="GCY3" s="964"/>
      <c r="GCZ3" s="964"/>
      <c r="GDA3" s="964"/>
      <c r="GDB3" s="964"/>
      <c r="GDC3" s="964"/>
      <c r="GDD3" s="964"/>
      <c r="GDE3" s="964"/>
      <c r="GDF3" s="964"/>
      <c r="GDG3" s="964"/>
      <c r="GDH3" s="964"/>
      <c r="GDI3" s="964"/>
      <c r="GDJ3" s="964"/>
      <c r="GDK3" s="964"/>
      <c r="GDL3" s="964"/>
      <c r="GDM3" s="964"/>
      <c r="GDN3" s="964"/>
      <c r="GDO3" s="964"/>
      <c r="GDP3" s="964"/>
      <c r="GDQ3" s="964"/>
      <c r="GDR3" s="964"/>
      <c r="GDS3" s="964"/>
      <c r="GDT3" s="964"/>
      <c r="GDU3" s="964"/>
      <c r="GDV3" s="964"/>
      <c r="GDW3" s="964"/>
      <c r="GDX3" s="964"/>
      <c r="GDY3" s="964"/>
      <c r="GDZ3" s="964"/>
      <c r="GEA3" s="964"/>
      <c r="GEB3" s="964"/>
      <c r="GEC3" s="964"/>
      <c r="GED3" s="964"/>
      <c r="GEE3" s="964"/>
      <c r="GEF3" s="964"/>
      <c r="GEG3" s="964"/>
      <c r="GEH3" s="964"/>
      <c r="GEI3" s="964"/>
      <c r="GEJ3" s="964"/>
      <c r="GEK3" s="964"/>
      <c r="GEL3" s="964"/>
      <c r="GEM3" s="964"/>
      <c r="GEN3" s="964"/>
      <c r="GEO3" s="964"/>
      <c r="GEP3" s="964"/>
      <c r="GEQ3" s="964"/>
      <c r="GER3" s="964"/>
      <c r="GES3" s="964"/>
      <c r="GET3" s="964"/>
      <c r="GEU3" s="964"/>
      <c r="GEV3" s="964"/>
      <c r="GEW3" s="964"/>
      <c r="GEX3" s="964"/>
      <c r="GEY3" s="964"/>
      <c r="GEZ3" s="964"/>
      <c r="GFA3" s="964"/>
      <c r="GFB3" s="964"/>
      <c r="GFC3" s="964"/>
      <c r="GFD3" s="964"/>
      <c r="GFE3" s="964"/>
      <c r="GFF3" s="964"/>
      <c r="GFG3" s="964"/>
      <c r="GFH3" s="964"/>
      <c r="GFI3" s="964"/>
      <c r="GFJ3" s="964"/>
      <c r="GFK3" s="964"/>
      <c r="GFL3" s="964"/>
      <c r="GFM3" s="964"/>
      <c r="GFN3" s="964"/>
      <c r="GFO3" s="964"/>
      <c r="GFP3" s="964"/>
      <c r="GFQ3" s="964"/>
      <c r="GFR3" s="964"/>
      <c r="GFS3" s="964"/>
      <c r="GFT3" s="964"/>
      <c r="GFU3" s="964"/>
      <c r="GFV3" s="964"/>
      <c r="GFW3" s="964"/>
      <c r="GFX3" s="964"/>
      <c r="GFY3" s="964"/>
      <c r="GFZ3" s="964"/>
      <c r="GGA3" s="964"/>
      <c r="GGB3" s="964"/>
      <c r="GGC3" s="964"/>
      <c r="GGD3" s="964"/>
      <c r="GGE3" s="964"/>
      <c r="GGF3" s="964"/>
      <c r="GGG3" s="964"/>
      <c r="GGH3" s="964"/>
      <c r="GGI3" s="964"/>
      <c r="GGJ3" s="964"/>
      <c r="GGK3" s="964"/>
      <c r="GGL3" s="964"/>
      <c r="GGM3" s="964"/>
      <c r="GGN3" s="964"/>
      <c r="GGO3" s="964"/>
      <c r="GGP3" s="964"/>
      <c r="GGQ3" s="964"/>
      <c r="GGR3" s="964"/>
      <c r="GGS3" s="964"/>
      <c r="GGT3" s="964"/>
      <c r="GGU3" s="964"/>
      <c r="GGV3" s="964"/>
      <c r="GGW3" s="964"/>
      <c r="GGX3" s="964"/>
      <c r="GGY3" s="964"/>
      <c r="GGZ3" s="964"/>
      <c r="GHA3" s="964"/>
      <c r="GHB3" s="964"/>
      <c r="GHC3" s="964"/>
      <c r="GHD3" s="964"/>
      <c r="GHE3" s="964"/>
      <c r="GHF3" s="964"/>
      <c r="GHG3" s="964"/>
      <c r="GHH3" s="964"/>
      <c r="GHI3" s="964"/>
      <c r="GHJ3" s="964"/>
      <c r="GHK3" s="964"/>
      <c r="GHL3" s="964"/>
      <c r="GHM3" s="964"/>
      <c r="GHN3" s="964"/>
      <c r="GHO3" s="964"/>
      <c r="GHP3" s="964"/>
      <c r="GHQ3" s="964"/>
      <c r="GHR3" s="964"/>
      <c r="GHS3" s="964"/>
      <c r="GHT3" s="964"/>
      <c r="GHU3" s="964"/>
      <c r="GHV3" s="964"/>
      <c r="GHW3" s="964"/>
      <c r="GHX3" s="964"/>
      <c r="GHY3" s="964"/>
      <c r="GHZ3" s="964"/>
      <c r="GIA3" s="964"/>
      <c r="GIB3" s="964"/>
      <c r="GIC3" s="964"/>
      <c r="GID3" s="964"/>
      <c r="GIE3" s="964"/>
      <c r="GIF3" s="964"/>
      <c r="GIG3" s="964"/>
      <c r="GIH3" s="964"/>
      <c r="GII3" s="964"/>
      <c r="GIJ3" s="964"/>
      <c r="GIK3" s="964"/>
      <c r="GIL3" s="964"/>
      <c r="GIM3" s="964"/>
      <c r="GIN3" s="964"/>
      <c r="GIO3" s="964"/>
      <c r="GIP3" s="964"/>
      <c r="GIQ3" s="964"/>
      <c r="GIR3" s="964"/>
      <c r="GIS3" s="964"/>
      <c r="GIT3" s="964"/>
      <c r="GIU3" s="964"/>
      <c r="GIV3" s="964"/>
      <c r="GIW3" s="964"/>
      <c r="GIX3" s="964"/>
      <c r="GIY3" s="964"/>
      <c r="GIZ3" s="964"/>
      <c r="GJA3" s="964"/>
      <c r="GJB3" s="964"/>
      <c r="GJC3" s="964"/>
      <c r="GJD3" s="964"/>
      <c r="GJE3" s="964"/>
      <c r="GJF3" s="964"/>
      <c r="GJG3" s="964"/>
      <c r="GJH3" s="964"/>
      <c r="GJI3" s="964"/>
      <c r="GJJ3" s="964"/>
      <c r="GJK3" s="964"/>
      <c r="GJL3" s="964"/>
      <c r="GJM3" s="964"/>
      <c r="GJN3" s="964"/>
      <c r="GJO3" s="964"/>
      <c r="GJP3" s="964"/>
      <c r="GJQ3" s="964"/>
      <c r="GJR3" s="964"/>
      <c r="GJS3" s="964"/>
      <c r="GJT3" s="964"/>
      <c r="GJU3" s="964"/>
      <c r="GJV3" s="964"/>
      <c r="GJW3" s="964"/>
      <c r="GJX3" s="964"/>
      <c r="GJY3" s="964"/>
      <c r="GJZ3" s="964"/>
      <c r="GKA3" s="964"/>
      <c r="GKB3" s="964"/>
      <c r="GKC3" s="964"/>
      <c r="GKD3" s="964"/>
      <c r="GKE3" s="964"/>
      <c r="GKF3" s="964"/>
      <c r="GKG3" s="964"/>
      <c r="GKH3" s="964"/>
      <c r="GKI3" s="964"/>
      <c r="GKJ3" s="964"/>
      <c r="GKK3" s="964"/>
      <c r="GKL3" s="964"/>
      <c r="GKM3" s="964"/>
      <c r="GKN3" s="964"/>
      <c r="GKO3" s="964"/>
      <c r="GKP3" s="964"/>
      <c r="GKQ3" s="964"/>
      <c r="GKR3" s="964"/>
      <c r="GKS3" s="964"/>
      <c r="GKT3" s="964"/>
      <c r="GKU3" s="964"/>
      <c r="GKV3" s="964"/>
      <c r="GKW3" s="964"/>
      <c r="GKX3" s="964"/>
      <c r="GKY3" s="964"/>
      <c r="GKZ3" s="964"/>
      <c r="GLA3" s="964"/>
      <c r="GLB3" s="964"/>
      <c r="GLC3" s="964"/>
      <c r="GLD3" s="964"/>
      <c r="GLE3" s="964"/>
      <c r="GLF3" s="964"/>
      <c r="GLG3" s="964"/>
      <c r="GLH3" s="964"/>
      <c r="GLI3" s="964"/>
      <c r="GLJ3" s="964"/>
      <c r="GLK3" s="964"/>
      <c r="GLL3" s="964"/>
      <c r="GLM3" s="964"/>
      <c r="GLN3" s="964"/>
      <c r="GLO3" s="964"/>
      <c r="GLP3" s="964"/>
      <c r="GLQ3" s="964"/>
      <c r="GLR3" s="964"/>
      <c r="GLS3" s="964"/>
      <c r="GLT3" s="964"/>
      <c r="GLU3" s="964"/>
      <c r="GLV3" s="964"/>
      <c r="GLW3" s="964"/>
      <c r="GLX3" s="964"/>
      <c r="GLY3" s="964"/>
      <c r="GLZ3" s="964"/>
      <c r="GMA3" s="964"/>
      <c r="GMB3" s="964"/>
      <c r="GMC3" s="964"/>
      <c r="GMD3" s="964"/>
      <c r="GME3" s="964"/>
      <c r="GMF3" s="964"/>
      <c r="GMG3" s="964"/>
      <c r="GMH3" s="964"/>
      <c r="GMI3" s="964"/>
      <c r="GMJ3" s="964"/>
      <c r="GMK3" s="964"/>
      <c r="GML3" s="964"/>
      <c r="GMM3" s="964"/>
      <c r="GMN3" s="964"/>
      <c r="GMO3" s="964"/>
      <c r="GMP3" s="964"/>
      <c r="GMQ3" s="964"/>
      <c r="GMR3" s="964"/>
      <c r="GMS3" s="964"/>
      <c r="GMT3" s="964"/>
      <c r="GMU3" s="964"/>
      <c r="GMV3" s="964"/>
      <c r="GMW3" s="964"/>
      <c r="GMX3" s="964"/>
      <c r="GMY3" s="964"/>
      <c r="GMZ3" s="964"/>
      <c r="GNA3" s="964"/>
      <c r="GNB3" s="964"/>
      <c r="GNC3" s="964"/>
      <c r="GND3" s="964"/>
      <c r="GNE3" s="964"/>
      <c r="GNF3" s="964"/>
      <c r="GNG3" s="964"/>
      <c r="GNH3" s="964"/>
      <c r="GNI3" s="964"/>
      <c r="GNJ3" s="964"/>
      <c r="GNK3" s="964"/>
      <c r="GNL3" s="964"/>
      <c r="GNM3" s="964"/>
      <c r="GNN3" s="964"/>
      <c r="GNO3" s="964"/>
      <c r="GNP3" s="964"/>
      <c r="GNQ3" s="964"/>
      <c r="GNR3" s="964"/>
      <c r="GNS3" s="964"/>
      <c r="GNT3" s="964"/>
      <c r="GNU3" s="964"/>
      <c r="GNV3" s="964"/>
      <c r="GNW3" s="964"/>
      <c r="GNX3" s="964"/>
      <c r="GNY3" s="964"/>
      <c r="GNZ3" s="964"/>
      <c r="GOA3" s="964"/>
      <c r="GOB3" s="964"/>
      <c r="GOC3" s="964"/>
      <c r="GOD3" s="964"/>
      <c r="GOE3" s="964"/>
      <c r="GOF3" s="964"/>
      <c r="GOG3" s="964"/>
      <c r="GOH3" s="964"/>
      <c r="GOI3" s="964"/>
      <c r="GOJ3" s="964"/>
      <c r="GOK3" s="964"/>
      <c r="GOL3" s="964"/>
      <c r="GOM3" s="964"/>
      <c r="GON3" s="964"/>
      <c r="GOO3" s="964"/>
      <c r="GOP3" s="964"/>
      <c r="GOQ3" s="964"/>
      <c r="GOR3" s="964"/>
      <c r="GOS3" s="964"/>
      <c r="GOT3" s="964"/>
      <c r="GOU3" s="964"/>
      <c r="GOV3" s="964"/>
      <c r="GOW3" s="964"/>
      <c r="GOX3" s="964"/>
      <c r="GOY3" s="964"/>
      <c r="GOZ3" s="964"/>
      <c r="GPA3" s="964"/>
      <c r="GPB3" s="964"/>
      <c r="GPC3" s="964"/>
      <c r="GPD3" s="964"/>
      <c r="GPE3" s="964"/>
      <c r="GPF3" s="964"/>
      <c r="GPG3" s="964"/>
      <c r="GPH3" s="964"/>
      <c r="GPI3" s="964"/>
      <c r="GPJ3" s="964"/>
      <c r="GPK3" s="964"/>
      <c r="GPL3" s="964"/>
      <c r="GPM3" s="964"/>
      <c r="GPN3" s="964"/>
      <c r="GPO3" s="964"/>
      <c r="GPP3" s="964"/>
      <c r="GPQ3" s="964"/>
      <c r="GPR3" s="964"/>
      <c r="GPS3" s="964"/>
      <c r="GPT3" s="964"/>
      <c r="GPU3" s="964"/>
      <c r="GPV3" s="964"/>
      <c r="GPW3" s="964"/>
      <c r="GPX3" s="964"/>
      <c r="GPY3" s="964"/>
      <c r="GPZ3" s="964"/>
      <c r="GQA3" s="964"/>
      <c r="GQB3" s="964"/>
      <c r="GQC3" s="964"/>
      <c r="GQD3" s="964"/>
      <c r="GQE3" s="964"/>
      <c r="GQF3" s="964"/>
      <c r="GQG3" s="964"/>
      <c r="GQH3" s="964"/>
      <c r="GQI3" s="964"/>
      <c r="GQJ3" s="964"/>
      <c r="GQK3" s="964"/>
      <c r="GQL3" s="964"/>
      <c r="GQM3" s="964"/>
      <c r="GQN3" s="964"/>
      <c r="GQO3" s="964"/>
      <c r="GQP3" s="964"/>
      <c r="GQQ3" s="964"/>
      <c r="GQR3" s="964"/>
      <c r="GQS3" s="964"/>
      <c r="GQT3" s="964"/>
      <c r="GQU3" s="964"/>
      <c r="GQV3" s="964"/>
      <c r="GQW3" s="964"/>
      <c r="GQX3" s="964"/>
      <c r="GQY3" s="964"/>
      <c r="GQZ3" s="964"/>
      <c r="GRA3" s="964"/>
      <c r="GRB3" s="964"/>
      <c r="GRC3" s="964"/>
      <c r="GRD3" s="964"/>
      <c r="GRE3" s="964"/>
      <c r="GRF3" s="964"/>
      <c r="GRG3" s="964"/>
      <c r="GRH3" s="964"/>
      <c r="GRI3" s="964"/>
      <c r="GRJ3" s="964"/>
      <c r="GRK3" s="964"/>
      <c r="GRL3" s="964"/>
      <c r="GRM3" s="964"/>
      <c r="GRN3" s="964"/>
      <c r="GRO3" s="964"/>
      <c r="GRP3" s="964"/>
      <c r="GRQ3" s="964"/>
      <c r="GRR3" s="964"/>
      <c r="GRS3" s="964"/>
      <c r="GRT3" s="964"/>
      <c r="GRU3" s="964"/>
      <c r="GRV3" s="964"/>
      <c r="GRW3" s="964"/>
      <c r="GRX3" s="964"/>
      <c r="GRY3" s="964"/>
      <c r="GRZ3" s="964"/>
      <c r="GSA3" s="964"/>
      <c r="GSB3" s="964"/>
      <c r="GSC3" s="964"/>
      <c r="GSD3" s="964"/>
      <c r="GSE3" s="964"/>
      <c r="GSF3" s="964"/>
      <c r="GSG3" s="964"/>
      <c r="GSH3" s="964"/>
      <c r="GSI3" s="964"/>
      <c r="GSJ3" s="964"/>
      <c r="GSK3" s="964"/>
      <c r="GSL3" s="964"/>
      <c r="GSM3" s="964"/>
      <c r="GSN3" s="964"/>
      <c r="GSO3" s="964"/>
      <c r="GSP3" s="964"/>
      <c r="GSQ3" s="964"/>
      <c r="GSR3" s="964"/>
      <c r="GSS3" s="964"/>
      <c r="GST3" s="964"/>
      <c r="GSU3" s="964"/>
      <c r="GSV3" s="964"/>
      <c r="GSW3" s="964"/>
      <c r="GSX3" s="964"/>
      <c r="GSY3" s="964"/>
      <c r="GSZ3" s="964"/>
      <c r="GTA3" s="964"/>
      <c r="GTB3" s="964"/>
      <c r="GTC3" s="964"/>
      <c r="GTD3" s="964"/>
      <c r="GTE3" s="964"/>
      <c r="GTF3" s="964"/>
      <c r="GTG3" s="964"/>
      <c r="GTH3" s="964"/>
      <c r="GTI3" s="964"/>
      <c r="GTJ3" s="964"/>
      <c r="GTK3" s="964"/>
      <c r="GTL3" s="964"/>
      <c r="GTM3" s="964"/>
      <c r="GTN3" s="964"/>
      <c r="GTO3" s="964"/>
      <c r="GTP3" s="964"/>
      <c r="GTQ3" s="964"/>
      <c r="GTR3" s="964"/>
      <c r="GTS3" s="964"/>
      <c r="GTT3" s="964"/>
      <c r="GTU3" s="964"/>
      <c r="GTV3" s="964"/>
      <c r="GTW3" s="964"/>
      <c r="GTX3" s="964"/>
      <c r="GTY3" s="964"/>
      <c r="GTZ3" s="964"/>
      <c r="GUA3" s="964"/>
      <c r="GUB3" s="964"/>
      <c r="GUC3" s="964"/>
      <c r="GUD3" s="964"/>
      <c r="GUE3" s="964"/>
      <c r="GUF3" s="964"/>
      <c r="GUG3" s="964"/>
      <c r="GUH3" s="964"/>
      <c r="GUI3" s="964"/>
      <c r="GUJ3" s="964"/>
      <c r="GUK3" s="964"/>
      <c r="GUL3" s="964"/>
      <c r="GUM3" s="964"/>
      <c r="GUN3" s="964"/>
      <c r="GUO3" s="964"/>
      <c r="GUP3" s="964"/>
      <c r="GUQ3" s="964"/>
      <c r="GUR3" s="964"/>
      <c r="GUS3" s="964"/>
      <c r="GUT3" s="964"/>
      <c r="GUU3" s="964"/>
      <c r="GUV3" s="964"/>
      <c r="GUW3" s="964"/>
      <c r="GUX3" s="964"/>
      <c r="GUY3" s="964"/>
      <c r="GUZ3" s="964"/>
      <c r="GVA3" s="964"/>
      <c r="GVB3" s="964"/>
      <c r="GVC3" s="964"/>
      <c r="GVD3" s="964"/>
      <c r="GVE3" s="964"/>
      <c r="GVF3" s="964"/>
      <c r="GVG3" s="964"/>
      <c r="GVH3" s="964"/>
      <c r="GVI3" s="964"/>
      <c r="GVJ3" s="964"/>
      <c r="GVK3" s="964"/>
      <c r="GVL3" s="964"/>
      <c r="GVM3" s="964"/>
      <c r="GVN3" s="964"/>
      <c r="GVO3" s="964"/>
      <c r="GVP3" s="964"/>
      <c r="GVQ3" s="964"/>
      <c r="GVR3" s="964"/>
      <c r="GVS3" s="964"/>
      <c r="GVT3" s="964"/>
      <c r="GVU3" s="964"/>
      <c r="GVV3" s="964"/>
      <c r="GVW3" s="964"/>
      <c r="GVX3" s="964"/>
      <c r="GVY3" s="964"/>
      <c r="GVZ3" s="964"/>
      <c r="GWA3" s="964"/>
      <c r="GWB3" s="964"/>
      <c r="GWC3" s="964"/>
      <c r="GWD3" s="964"/>
      <c r="GWE3" s="964"/>
      <c r="GWF3" s="964"/>
      <c r="GWG3" s="964"/>
      <c r="GWH3" s="964"/>
      <c r="GWI3" s="964"/>
      <c r="GWJ3" s="964"/>
      <c r="GWK3" s="964"/>
      <c r="GWL3" s="964"/>
      <c r="GWM3" s="964"/>
      <c r="GWN3" s="964"/>
      <c r="GWO3" s="964"/>
      <c r="GWP3" s="964"/>
      <c r="GWQ3" s="964"/>
      <c r="GWR3" s="964"/>
      <c r="GWS3" s="964"/>
      <c r="GWT3" s="964"/>
      <c r="GWU3" s="964"/>
      <c r="GWV3" s="964"/>
      <c r="GWW3" s="964"/>
      <c r="GWX3" s="964"/>
      <c r="GWY3" s="964"/>
      <c r="GWZ3" s="964"/>
      <c r="GXA3" s="964"/>
      <c r="GXB3" s="964"/>
      <c r="GXC3" s="964"/>
      <c r="GXD3" s="964"/>
      <c r="GXE3" s="964"/>
      <c r="GXF3" s="964"/>
      <c r="GXG3" s="964"/>
      <c r="GXH3" s="964"/>
      <c r="GXI3" s="964"/>
      <c r="GXJ3" s="964"/>
      <c r="GXK3" s="964"/>
      <c r="GXL3" s="964"/>
      <c r="GXM3" s="964"/>
      <c r="GXN3" s="964"/>
      <c r="GXO3" s="964"/>
      <c r="GXP3" s="964"/>
      <c r="GXQ3" s="964"/>
      <c r="GXR3" s="964"/>
      <c r="GXS3" s="964"/>
      <c r="GXT3" s="964"/>
      <c r="GXU3" s="964"/>
      <c r="GXV3" s="964"/>
      <c r="GXW3" s="964"/>
      <c r="GXX3" s="964"/>
      <c r="GXY3" s="964"/>
      <c r="GXZ3" s="964"/>
      <c r="GYA3" s="964"/>
      <c r="GYB3" s="964"/>
      <c r="GYC3" s="964"/>
      <c r="GYD3" s="964"/>
      <c r="GYE3" s="964"/>
      <c r="GYF3" s="964"/>
      <c r="GYG3" s="964"/>
      <c r="GYH3" s="964"/>
      <c r="GYI3" s="964"/>
      <c r="GYJ3" s="964"/>
      <c r="GYK3" s="964"/>
      <c r="GYL3" s="964"/>
      <c r="GYM3" s="964"/>
      <c r="GYN3" s="964"/>
      <c r="GYO3" s="964"/>
      <c r="GYP3" s="964"/>
      <c r="GYQ3" s="964"/>
      <c r="GYR3" s="964"/>
      <c r="GYS3" s="964"/>
      <c r="GYT3" s="964"/>
      <c r="GYU3" s="964"/>
      <c r="GYV3" s="964"/>
      <c r="GYW3" s="964"/>
      <c r="GYX3" s="964"/>
      <c r="GYY3" s="964"/>
      <c r="GYZ3" s="964"/>
      <c r="GZA3" s="964"/>
      <c r="GZB3" s="964"/>
      <c r="GZC3" s="964"/>
      <c r="GZD3" s="964"/>
      <c r="GZE3" s="964"/>
      <c r="GZF3" s="964"/>
      <c r="GZG3" s="964"/>
      <c r="GZH3" s="964"/>
      <c r="GZI3" s="964"/>
      <c r="GZJ3" s="964"/>
      <c r="GZK3" s="964"/>
      <c r="GZL3" s="964"/>
      <c r="GZM3" s="964"/>
      <c r="GZN3" s="964"/>
      <c r="GZO3" s="964"/>
      <c r="GZP3" s="964"/>
      <c r="GZQ3" s="964"/>
      <c r="GZR3" s="964"/>
      <c r="GZS3" s="964"/>
      <c r="GZT3" s="964"/>
      <c r="GZU3" s="964"/>
      <c r="GZV3" s="964"/>
      <c r="GZW3" s="964"/>
      <c r="GZX3" s="964"/>
      <c r="GZY3" s="964"/>
      <c r="GZZ3" s="964"/>
      <c r="HAA3" s="964"/>
      <c r="HAB3" s="964"/>
      <c r="HAC3" s="964"/>
      <c r="HAD3" s="964"/>
      <c r="HAE3" s="964"/>
      <c r="HAF3" s="964"/>
      <c r="HAG3" s="964"/>
      <c r="HAH3" s="964"/>
      <c r="HAI3" s="964"/>
      <c r="HAJ3" s="964"/>
      <c r="HAK3" s="964"/>
      <c r="HAL3" s="964"/>
      <c r="HAM3" s="964"/>
      <c r="HAN3" s="964"/>
      <c r="HAO3" s="964"/>
      <c r="HAP3" s="964"/>
      <c r="HAQ3" s="964"/>
      <c r="HAR3" s="964"/>
      <c r="HAS3" s="964"/>
      <c r="HAT3" s="964"/>
      <c r="HAU3" s="964"/>
      <c r="HAV3" s="964"/>
      <c r="HAW3" s="964"/>
      <c r="HAX3" s="964"/>
      <c r="HAY3" s="964"/>
      <c r="HAZ3" s="964"/>
      <c r="HBA3" s="964"/>
      <c r="HBB3" s="964"/>
      <c r="HBC3" s="964"/>
      <c r="HBD3" s="964"/>
      <c r="HBE3" s="964"/>
      <c r="HBF3" s="964"/>
      <c r="HBG3" s="964"/>
      <c r="HBH3" s="964"/>
      <c r="HBI3" s="964"/>
      <c r="HBJ3" s="964"/>
      <c r="HBK3" s="964"/>
      <c r="HBL3" s="964"/>
      <c r="HBM3" s="964"/>
      <c r="HBN3" s="964"/>
      <c r="HBO3" s="964"/>
      <c r="HBP3" s="964"/>
      <c r="HBQ3" s="964"/>
      <c r="HBR3" s="964"/>
      <c r="HBS3" s="964"/>
      <c r="HBT3" s="964"/>
      <c r="HBU3" s="964"/>
      <c r="HBV3" s="964"/>
      <c r="HBW3" s="964"/>
      <c r="HBX3" s="964"/>
      <c r="HBY3" s="964"/>
      <c r="HBZ3" s="964"/>
      <c r="HCA3" s="964"/>
      <c r="HCB3" s="964"/>
      <c r="HCC3" s="964"/>
      <c r="HCD3" s="964"/>
      <c r="HCE3" s="964"/>
      <c r="HCF3" s="964"/>
      <c r="HCG3" s="964"/>
      <c r="HCH3" s="964"/>
      <c r="HCI3" s="964"/>
      <c r="HCJ3" s="964"/>
      <c r="HCK3" s="964"/>
      <c r="HCL3" s="964"/>
      <c r="HCM3" s="964"/>
      <c r="HCN3" s="964"/>
      <c r="HCO3" s="964"/>
      <c r="HCP3" s="964"/>
      <c r="HCQ3" s="964"/>
      <c r="HCR3" s="964"/>
      <c r="HCS3" s="964"/>
      <c r="HCT3" s="964"/>
      <c r="HCU3" s="964"/>
      <c r="HCV3" s="964"/>
      <c r="HCW3" s="964"/>
      <c r="HCX3" s="964"/>
      <c r="HCY3" s="964"/>
      <c r="HCZ3" s="964"/>
      <c r="HDA3" s="964"/>
      <c r="HDB3" s="964"/>
      <c r="HDC3" s="964"/>
      <c r="HDD3" s="964"/>
      <c r="HDE3" s="964"/>
      <c r="HDF3" s="964"/>
      <c r="HDG3" s="964"/>
      <c r="HDH3" s="964"/>
      <c r="HDI3" s="964"/>
      <c r="HDJ3" s="964"/>
      <c r="HDK3" s="964"/>
      <c r="HDL3" s="964"/>
      <c r="HDM3" s="964"/>
      <c r="HDN3" s="964"/>
      <c r="HDO3" s="964"/>
      <c r="HDP3" s="964"/>
      <c r="HDQ3" s="964"/>
      <c r="HDR3" s="964"/>
      <c r="HDS3" s="964"/>
      <c r="HDT3" s="964"/>
      <c r="HDU3" s="964"/>
      <c r="HDV3" s="964"/>
      <c r="HDW3" s="964"/>
      <c r="HDX3" s="964"/>
      <c r="HDY3" s="964"/>
      <c r="HDZ3" s="964"/>
      <c r="HEA3" s="964"/>
      <c r="HEB3" s="964"/>
      <c r="HEC3" s="964"/>
      <c r="HED3" s="964"/>
      <c r="HEE3" s="964"/>
      <c r="HEF3" s="964"/>
      <c r="HEG3" s="964"/>
      <c r="HEH3" s="964"/>
      <c r="HEI3" s="964"/>
      <c r="HEJ3" s="964"/>
      <c r="HEK3" s="964"/>
      <c r="HEL3" s="964"/>
      <c r="HEM3" s="964"/>
      <c r="HEN3" s="964"/>
      <c r="HEO3" s="964"/>
      <c r="HEP3" s="964"/>
      <c r="HEQ3" s="964"/>
      <c r="HER3" s="964"/>
      <c r="HES3" s="964"/>
      <c r="HET3" s="964"/>
      <c r="HEU3" s="964"/>
      <c r="HEV3" s="964"/>
      <c r="HEW3" s="964"/>
      <c r="HEX3" s="964"/>
      <c r="HEY3" s="964"/>
      <c r="HEZ3" s="964"/>
      <c r="HFA3" s="964"/>
      <c r="HFB3" s="964"/>
      <c r="HFC3" s="964"/>
      <c r="HFD3" s="964"/>
      <c r="HFE3" s="964"/>
      <c r="HFF3" s="964"/>
      <c r="HFG3" s="964"/>
      <c r="HFH3" s="964"/>
      <c r="HFI3" s="964"/>
      <c r="HFJ3" s="964"/>
      <c r="HFK3" s="964"/>
      <c r="HFL3" s="964"/>
      <c r="HFM3" s="964"/>
      <c r="HFN3" s="964"/>
      <c r="HFO3" s="964"/>
      <c r="HFP3" s="964"/>
      <c r="HFQ3" s="964"/>
      <c r="HFR3" s="964"/>
      <c r="HFS3" s="964"/>
      <c r="HFT3" s="964"/>
      <c r="HFU3" s="964"/>
      <c r="HFV3" s="964"/>
      <c r="HFW3" s="964"/>
      <c r="HFX3" s="964"/>
      <c r="HFY3" s="964"/>
      <c r="HFZ3" s="964"/>
      <c r="HGA3" s="964"/>
      <c r="HGB3" s="964"/>
      <c r="HGC3" s="964"/>
      <c r="HGD3" s="964"/>
      <c r="HGE3" s="964"/>
      <c r="HGF3" s="964"/>
      <c r="HGG3" s="964"/>
      <c r="HGH3" s="964"/>
      <c r="HGI3" s="964"/>
      <c r="HGJ3" s="964"/>
      <c r="HGK3" s="964"/>
      <c r="HGL3" s="964"/>
      <c r="HGM3" s="964"/>
      <c r="HGN3" s="964"/>
      <c r="HGO3" s="964"/>
      <c r="HGP3" s="964"/>
      <c r="HGQ3" s="964"/>
      <c r="HGR3" s="964"/>
      <c r="HGS3" s="964"/>
      <c r="HGT3" s="964"/>
      <c r="HGU3" s="964"/>
      <c r="HGV3" s="964"/>
      <c r="HGW3" s="964"/>
      <c r="HGX3" s="964"/>
      <c r="HGY3" s="964"/>
      <c r="HGZ3" s="964"/>
      <c r="HHA3" s="964"/>
      <c r="HHB3" s="964"/>
      <c r="HHC3" s="964"/>
      <c r="HHD3" s="964"/>
      <c r="HHE3" s="964"/>
      <c r="HHF3" s="964"/>
      <c r="HHG3" s="964"/>
      <c r="HHH3" s="964"/>
      <c r="HHI3" s="964"/>
      <c r="HHJ3" s="964"/>
      <c r="HHK3" s="964"/>
      <c r="HHL3" s="964"/>
      <c r="HHM3" s="964"/>
      <c r="HHN3" s="964"/>
      <c r="HHO3" s="964"/>
      <c r="HHP3" s="964"/>
      <c r="HHQ3" s="964"/>
      <c r="HHR3" s="964"/>
      <c r="HHS3" s="964"/>
      <c r="HHT3" s="964"/>
      <c r="HHU3" s="964"/>
      <c r="HHV3" s="964"/>
      <c r="HHW3" s="964"/>
      <c r="HHX3" s="964"/>
      <c r="HHY3" s="964"/>
      <c r="HHZ3" s="964"/>
      <c r="HIA3" s="964"/>
      <c r="HIB3" s="964"/>
      <c r="HIC3" s="964"/>
      <c r="HID3" s="964"/>
      <c r="HIE3" s="964"/>
      <c r="HIF3" s="964"/>
      <c r="HIG3" s="964"/>
      <c r="HIH3" s="964"/>
      <c r="HII3" s="964"/>
      <c r="HIJ3" s="964"/>
      <c r="HIK3" s="964"/>
      <c r="HIL3" s="964"/>
      <c r="HIM3" s="964"/>
      <c r="HIN3" s="964"/>
      <c r="HIO3" s="964"/>
      <c r="HIP3" s="964"/>
      <c r="HIQ3" s="964"/>
      <c r="HIR3" s="964"/>
      <c r="HIS3" s="964"/>
      <c r="HIT3" s="964"/>
      <c r="HIU3" s="964"/>
      <c r="HIV3" s="964"/>
      <c r="HIW3" s="964"/>
      <c r="HIX3" s="964"/>
      <c r="HIY3" s="964"/>
      <c r="HIZ3" s="964"/>
      <c r="HJA3" s="964"/>
      <c r="HJB3" s="964"/>
      <c r="HJC3" s="964"/>
      <c r="HJD3" s="964"/>
      <c r="HJE3" s="964"/>
      <c r="HJF3" s="964"/>
      <c r="HJG3" s="964"/>
      <c r="HJH3" s="964"/>
      <c r="HJI3" s="964"/>
      <c r="HJJ3" s="964"/>
      <c r="HJK3" s="964"/>
      <c r="HJL3" s="964"/>
      <c r="HJM3" s="964"/>
      <c r="HJN3" s="964"/>
      <c r="HJO3" s="964"/>
      <c r="HJP3" s="964"/>
      <c r="HJQ3" s="964"/>
      <c r="HJR3" s="964"/>
      <c r="HJS3" s="964"/>
      <c r="HJT3" s="964"/>
      <c r="HJU3" s="964"/>
      <c r="HJV3" s="964"/>
      <c r="HJW3" s="964"/>
      <c r="HJX3" s="964"/>
      <c r="HJY3" s="964"/>
      <c r="HJZ3" s="964"/>
      <c r="HKA3" s="964"/>
      <c r="HKB3" s="964"/>
      <c r="HKC3" s="964"/>
      <c r="HKD3" s="964"/>
      <c r="HKE3" s="964"/>
      <c r="HKF3" s="964"/>
      <c r="HKG3" s="964"/>
      <c r="HKH3" s="964"/>
      <c r="HKI3" s="964"/>
      <c r="HKJ3" s="964"/>
      <c r="HKK3" s="964"/>
      <c r="HKL3" s="964"/>
      <c r="HKM3" s="964"/>
      <c r="HKN3" s="964"/>
      <c r="HKO3" s="964"/>
      <c r="HKP3" s="964"/>
      <c r="HKQ3" s="964"/>
      <c r="HKR3" s="964"/>
      <c r="HKS3" s="964"/>
      <c r="HKT3" s="964"/>
      <c r="HKU3" s="964"/>
      <c r="HKV3" s="964"/>
      <c r="HKW3" s="964"/>
      <c r="HKX3" s="964"/>
      <c r="HKY3" s="964"/>
      <c r="HKZ3" s="964"/>
      <c r="HLA3" s="964"/>
      <c r="HLB3" s="964"/>
      <c r="HLC3" s="964"/>
      <c r="HLD3" s="964"/>
      <c r="HLE3" s="964"/>
      <c r="HLF3" s="964"/>
      <c r="HLG3" s="964"/>
      <c r="HLH3" s="964"/>
      <c r="HLI3" s="964"/>
      <c r="HLJ3" s="964"/>
      <c r="HLK3" s="964"/>
      <c r="HLL3" s="964"/>
      <c r="HLM3" s="964"/>
      <c r="HLN3" s="964"/>
      <c r="HLO3" s="964"/>
      <c r="HLP3" s="964"/>
      <c r="HLQ3" s="964"/>
      <c r="HLR3" s="964"/>
      <c r="HLS3" s="964"/>
      <c r="HLT3" s="964"/>
      <c r="HLU3" s="964"/>
      <c r="HLV3" s="964"/>
      <c r="HLW3" s="964"/>
      <c r="HLX3" s="964"/>
      <c r="HLY3" s="964"/>
      <c r="HLZ3" s="964"/>
      <c r="HMA3" s="964"/>
      <c r="HMB3" s="964"/>
      <c r="HMC3" s="964"/>
      <c r="HMD3" s="964"/>
      <c r="HME3" s="964"/>
      <c r="HMF3" s="964"/>
      <c r="HMG3" s="964"/>
      <c r="HMH3" s="964"/>
      <c r="HMI3" s="964"/>
      <c r="HMJ3" s="964"/>
      <c r="HMK3" s="964"/>
      <c r="HML3" s="964"/>
      <c r="HMM3" s="964"/>
      <c r="HMN3" s="964"/>
      <c r="HMO3" s="964"/>
      <c r="HMP3" s="964"/>
      <c r="HMQ3" s="964"/>
      <c r="HMR3" s="964"/>
      <c r="HMS3" s="964"/>
      <c r="HMT3" s="964"/>
      <c r="HMU3" s="964"/>
      <c r="HMV3" s="964"/>
      <c r="HMW3" s="964"/>
      <c r="HMX3" s="964"/>
      <c r="HMY3" s="964"/>
      <c r="HMZ3" s="964"/>
      <c r="HNA3" s="964"/>
      <c r="HNB3" s="964"/>
      <c r="HNC3" s="964"/>
      <c r="HND3" s="964"/>
      <c r="HNE3" s="964"/>
      <c r="HNF3" s="964"/>
      <c r="HNG3" s="964"/>
      <c r="HNH3" s="964"/>
      <c r="HNI3" s="964"/>
      <c r="HNJ3" s="964"/>
      <c r="HNK3" s="964"/>
      <c r="HNL3" s="964"/>
      <c r="HNM3" s="964"/>
      <c r="HNN3" s="964"/>
      <c r="HNO3" s="964"/>
      <c r="HNP3" s="964"/>
      <c r="HNQ3" s="964"/>
      <c r="HNR3" s="964"/>
      <c r="HNS3" s="964"/>
      <c r="HNT3" s="964"/>
      <c r="HNU3" s="964"/>
      <c r="HNV3" s="964"/>
      <c r="HNW3" s="964"/>
      <c r="HNX3" s="964"/>
      <c r="HNY3" s="964"/>
      <c r="HNZ3" s="964"/>
      <c r="HOA3" s="964"/>
      <c r="HOB3" s="964"/>
      <c r="HOC3" s="964"/>
      <c r="HOD3" s="964"/>
      <c r="HOE3" s="964"/>
      <c r="HOF3" s="964"/>
      <c r="HOG3" s="964"/>
      <c r="HOH3" s="964"/>
      <c r="HOI3" s="964"/>
      <c r="HOJ3" s="964"/>
      <c r="HOK3" s="964"/>
      <c r="HOL3" s="964"/>
      <c r="HOM3" s="964"/>
      <c r="HON3" s="964"/>
      <c r="HOO3" s="964"/>
      <c r="HOP3" s="964"/>
      <c r="HOQ3" s="964"/>
      <c r="HOR3" s="964"/>
      <c r="HOS3" s="964"/>
      <c r="HOT3" s="964"/>
      <c r="HOU3" s="964"/>
      <c r="HOV3" s="964"/>
      <c r="HOW3" s="964"/>
      <c r="HOX3" s="964"/>
      <c r="HOY3" s="964"/>
      <c r="HOZ3" s="964"/>
      <c r="HPA3" s="964"/>
      <c r="HPB3" s="964"/>
      <c r="HPC3" s="964"/>
      <c r="HPD3" s="964"/>
      <c r="HPE3" s="964"/>
      <c r="HPF3" s="964"/>
      <c r="HPG3" s="964"/>
      <c r="HPH3" s="964"/>
      <c r="HPI3" s="964"/>
      <c r="HPJ3" s="964"/>
      <c r="HPK3" s="964"/>
      <c r="HPL3" s="964"/>
      <c r="HPM3" s="964"/>
      <c r="HPN3" s="964"/>
      <c r="HPO3" s="964"/>
      <c r="HPP3" s="964"/>
      <c r="HPQ3" s="964"/>
      <c r="HPR3" s="964"/>
      <c r="HPS3" s="964"/>
      <c r="HPT3" s="964"/>
      <c r="HPU3" s="964"/>
      <c r="HPV3" s="964"/>
      <c r="HPW3" s="964"/>
      <c r="HPX3" s="964"/>
      <c r="HPY3" s="964"/>
      <c r="HPZ3" s="964"/>
      <c r="HQA3" s="964"/>
      <c r="HQB3" s="964"/>
      <c r="HQC3" s="964"/>
      <c r="HQD3" s="964"/>
      <c r="HQE3" s="964"/>
      <c r="HQF3" s="964"/>
      <c r="HQG3" s="964"/>
      <c r="HQH3" s="964"/>
      <c r="HQI3" s="964"/>
      <c r="HQJ3" s="964"/>
      <c r="HQK3" s="964"/>
      <c r="HQL3" s="964"/>
      <c r="HQM3" s="964"/>
      <c r="HQN3" s="964"/>
      <c r="HQO3" s="964"/>
      <c r="HQP3" s="964"/>
      <c r="HQQ3" s="964"/>
      <c r="HQR3" s="964"/>
      <c r="HQS3" s="964"/>
      <c r="HQT3" s="964"/>
      <c r="HQU3" s="964"/>
      <c r="HQV3" s="964"/>
      <c r="HQW3" s="964"/>
      <c r="HQX3" s="964"/>
      <c r="HQY3" s="964"/>
      <c r="HQZ3" s="964"/>
      <c r="HRA3" s="964"/>
      <c r="HRB3" s="964"/>
      <c r="HRC3" s="964"/>
      <c r="HRD3" s="964"/>
      <c r="HRE3" s="964"/>
      <c r="HRF3" s="964"/>
      <c r="HRG3" s="964"/>
      <c r="HRH3" s="964"/>
      <c r="HRI3" s="964"/>
      <c r="HRJ3" s="964"/>
      <c r="HRK3" s="964"/>
      <c r="HRL3" s="964"/>
      <c r="HRM3" s="964"/>
      <c r="HRN3" s="964"/>
      <c r="HRO3" s="964"/>
      <c r="HRP3" s="964"/>
      <c r="HRQ3" s="964"/>
      <c r="HRR3" s="964"/>
      <c r="HRS3" s="964"/>
      <c r="HRT3" s="964"/>
      <c r="HRU3" s="964"/>
      <c r="HRV3" s="964"/>
      <c r="HRW3" s="964"/>
      <c r="HRX3" s="964"/>
      <c r="HRY3" s="964"/>
      <c r="HRZ3" s="964"/>
      <c r="HSA3" s="964"/>
      <c r="HSB3" s="964"/>
      <c r="HSC3" s="964"/>
      <c r="HSD3" s="964"/>
      <c r="HSE3" s="964"/>
      <c r="HSF3" s="964"/>
      <c r="HSG3" s="964"/>
      <c r="HSH3" s="964"/>
      <c r="HSI3" s="964"/>
      <c r="HSJ3" s="964"/>
      <c r="HSK3" s="964"/>
      <c r="HSL3" s="964"/>
      <c r="HSM3" s="964"/>
      <c r="HSN3" s="964"/>
      <c r="HSO3" s="964"/>
      <c r="HSP3" s="964"/>
      <c r="HSQ3" s="964"/>
      <c r="HSR3" s="964"/>
      <c r="HSS3" s="964"/>
      <c r="HST3" s="964"/>
      <c r="HSU3" s="964"/>
      <c r="HSV3" s="964"/>
      <c r="HSW3" s="964"/>
      <c r="HSX3" s="964"/>
      <c r="HSY3" s="964"/>
      <c r="HSZ3" s="964"/>
      <c r="HTA3" s="964"/>
      <c r="HTB3" s="964"/>
      <c r="HTC3" s="964"/>
      <c r="HTD3" s="964"/>
      <c r="HTE3" s="964"/>
      <c r="HTF3" s="964"/>
      <c r="HTG3" s="964"/>
      <c r="HTH3" s="964"/>
      <c r="HTI3" s="964"/>
      <c r="HTJ3" s="964"/>
      <c r="HTK3" s="964"/>
      <c r="HTL3" s="964"/>
      <c r="HTM3" s="964"/>
      <c r="HTN3" s="964"/>
      <c r="HTO3" s="964"/>
      <c r="HTP3" s="964"/>
      <c r="HTQ3" s="964"/>
      <c r="HTR3" s="964"/>
      <c r="HTS3" s="964"/>
      <c r="HTT3" s="964"/>
      <c r="HTU3" s="964"/>
      <c r="HTV3" s="964"/>
      <c r="HTW3" s="964"/>
      <c r="HTX3" s="964"/>
      <c r="HTY3" s="964"/>
      <c r="HTZ3" s="964"/>
      <c r="HUA3" s="964"/>
      <c r="HUB3" s="964"/>
      <c r="HUC3" s="964"/>
      <c r="HUD3" s="964"/>
      <c r="HUE3" s="964"/>
      <c r="HUF3" s="964"/>
      <c r="HUG3" s="964"/>
      <c r="HUH3" s="964"/>
      <c r="HUI3" s="964"/>
      <c r="HUJ3" s="964"/>
      <c r="HUK3" s="964"/>
      <c r="HUL3" s="964"/>
      <c r="HUM3" s="964"/>
      <c r="HUN3" s="964"/>
      <c r="HUO3" s="964"/>
      <c r="HUP3" s="964"/>
      <c r="HUQ3" s="964"/>
      <c r="HUR3" s="964"/>
      <c r="HUS3" s="964"/>
      <c r="HUT3" s="964"/>
      <c r="HUU3" s="964"/>
      <c r="HUV3" s="964"/>
      <c r="HUW3" s="964"/>
      <c r="HUX3" s="964"/>
      <c r="HUY3" s="964"/>
      <c r="HUZ3" s="964"/>
      <c r="HVA3" s="964"/>
      <c r="HVB3" s="964"/>
      <c r="HVC3" s="964"/>
      <c r="HVD3" s="964"/>
      <c r="HVE3" s="964"/>
      <c r="HVF3" s="964"/>
      <c r="HVG3" s="964"/>
      <c r="HVH3" s="964"/>
      <c r="HVI3" s="964"/>
      <c r="HVJ3" s="964"/>
      <c r="HVK3" s="964"/>
      <c r="HVL3" s="964"/>
      <c r="HVM3" s="964"/>
      <c r="HVN3" s="964"/>
      <c r="HVO3" s="964"/>
      <c r="HVP3" s="964"/>
      <c r="HVQ3" s="964"/>
      <c r="HVR3" s="964"/>
      <c r="HVS3" s="964"/>
      <c r="HVT3" s="964"/>
      <c r="HVU3" s="964"/>
      <c r="HVV3" s="964"/>
      <c r="HVW3" s="964"/>
      <c r="HVX3" s="964"/>
      <c r="HVY3" s="964"/>
      <c r="HVZ3" s="964"/>
      <c r="HWA3" s="964"/>
      <c r="HWB3" s="964"/>
      <c r="HWC3" s="964"/>
      <c r="HWD3" s="964"/>
      <c r="HWE3" s="964"/>
      <c r="HWF3" s="964"/>
      <c r="HWG3" s="964"/>
      <c r="HWH3" s="964"/>
      <c r="HWI3" s="964"/>
      <c r="HWJ3" s="964"/>
      <c r="HWK3" s="964"/>
      <c r="HWL3" s="964"/>
      <c r="HWM3" s="964"/>
      <c r="HWN3" s="964"/>
      <c r="HWO3" s="964"/>
      <c r="HWP3" s="964"/>
      <c r="HWQ3" s="964"/>
      <c r="HWR3" s="964"/>
      <c r="HWS3" s="964"/>
      <c r="HWT3" s="964"/>
      <c r="HWU3" s="964"/>
      <c r="HWV3" s="964"/>
      <c r="HWW3" s="964"/>
      <c r="HWX3" s="964"/>
      <c r="HWY3" s="964"/>
      <c r="HWZ3" s="964"/>
      <c r="HXA3" s="964"/>
      <c r="HXB3" s="964"/>
      <c r="HXC3" s="964"/>
      <c r="HXD3" s="964"/>
      <c r="HXE3" s="964"/>
      <c r="HXF3" s="964"/>
      <c r="HXG3" s="964"/>
      <c r="HXH3" s="964"/>
      <c r="HXI3" s="964"/>
      <c r="HXJ3" s="964"/>
      <c r="HXK3" s="964"/>
      <c r="HXL3" s="964"/>
      <c r="HXM3" s="964"/>
      <c r="HXN3" s="964"/>
      <c r="HXO3" s="964"/>
      <c r="HXP3" s="964"/>
      <c r="HXQ3" s="964"/>
      <c r="HXR3" s="964"/>
      <c r="HXS3" s="964"/>
      <c r="HXT3" s="964"/>
      <c r="HXU3" s="964"/>
      <c r="HXV3" s="964"/>
      <c r="HXW3" s="964"/>
      <c r="HXX3" s="964"/>
      <c r="HXY3" s="964"/>
      <c r="HXZ3" s="964"/>
      <c r="HYA3" s="964"/>
      <c r="HYB3" s="964"/>
      <c r="HYC3" s="964"/>
      <c r="HYD3" s="964"/>
      <c r="HYE3" s="964"/>
      <c r="HYF3" s="964"/>
      <c r="HYG3" s="964"/>
      <c r="HYH3" s="964"/>
      <c r="HYI3" s="964"/>
      <c r="HYJ3" s="964"/>
      <c r="HYK3" s="964"/>
      <c r="HYL3" s="964"/>
      <c r="HYM3" s="964"/>
      <c r="HYN3" s="964"/>
      <c r="HYO3" s="964"/>
      <c r="HYP3" s="964"/>
      <c r="HYQ3" s="964"/>
      <c r="HYR3" s="964"/>
      <c r="HYS3" s="964"/>
      <c r="HYT3" s="964"/>
      <c r="HYU3" s="964"/>
      <c r="HYV3" s="964"/>
      <c r="HYW3" s="964"/>
      <c r="HYX3" s="964"/>
      <c r="HYY3" s="964"/>
      <c r="HYZ3" s="964"/>
      <c r="HZA3" s="964"/>
      <c r="HZB3" s="964"/>
      <c r="HZC3" s="964"/>
      <c r="HZD3" s="964"/>
      <c r="HZE3" s="964"/>
      <c r="HZF3" s="964"/>
      <c r="HZG3" s="964"/>
      <c r="HZH3" s="964"/>
      <c r="HZI3" s="964"/>
      <c r="HZJ3" s="964"/>
      <c r="HZK3" s="964"/>
      <c r="HZL3" s="964"/>
      <c r="HZM3" s="964"/>
      <c r="HZN3" s="964"/>
      <c r="HZO3" s="964"/>
      <c r="HZP3" s="964"/>
      <c r="HZQ3" s="964"/>
      <c r="HZR3" s="964"/>
      <c r="HZS3" s="964"/>
      <c r="HZT3" s="964"/>
      <c r="HZU3" s="964"/>
      <c r="HZV3" s="964"/>
      <c r="HZW3" s="964"/>
      <c r="HZX3" s="964"/>
      <c r="HZY3" s="964"/>
      <c r="HZZ3" s="964"/>
      <c r="IAA3" s="964"/>
      <c r="IAB3" s="964"/>
      <c r="IAC3" s="964"/>
      <c r="IAD3" s="964"/>
      <c r="IAE3" s="964"/>
      <c r="IAF3" s="964"/>
      <c r="IAG3" s="964"/>
      <c r="IAH3" s="964"/>
      <c r="IAI3" s="964"/>
      <c r="IAJ3" s="964"/>
      <c r="IAK3" s="964"/>
      <c r="IAL3" s="964"/>
      <c r="IAM3" s="964"/>
      <c r="IAN3" s="964"/>
      <c r="IAO3" s="964"/>
      <c r="IAP3" s="964"/>
      <c r="IAQ3" s="964"/>
      <c r="IAR3" s="964"/>
      <c r="IAS3" s="964"/>
      <c r="IAT3" s="964"/>
      <c r="IAU3" s="964"/>
      <c r="IAV3" s="964"/>
      <c r="IAW3" s="964"/>
      <c r="IAX3" s="964"/>
      <c r="IAY3" s="964"/>
      <c r="IAZ3" s="964"/>
      <c r="IBA3" s="964"/>
      <c r="IBB3" s="964"/>
      <c r="IBC3" s="964"/>
      <c r="IBD3" s="964"/>
      <c r="IBE3" s="964"/>
      <c r="IBF3" s="964"/>
      <c r="IBG3" s="964"/>
      <c r="IBH3" s="964"/>
      <c r="IBI3" s="964"/>
      <c r="IBJ3" s="964"/>
      <c r="IBK3" s="964"/>
      <c r="IBL3" s="964"/>
      <c r="IBM3" s="964"/>
      <c r="IBN3" s="964"/>
      <c r="IBO3" s="964"/>
      <c r="IBP3" s="964"/>
      <c r="IBQ3" s="964"/>
      <c r="IBR3" s="964"/>
      <c r="IBS3" s="964"/>
      <c r="IBT3" s="964"/>
      <c r="IBU3" s="964"/>
      <c r="IBV3" s="964"/>
      <c r="IBW3" s="964"/>
      <c r="IBX3" s="964"/>
      <c r="IBY3" s="964"/>
      <c r="IBZ3" s="964"/>
      <c r="ICA3" s="964"/>
      <c r="ICB3" s="964"/>
      <c r="ICC3" s="964"/>
      <c r="ICD3" s="964"/>
      <c r="ICE3" s="964"/>
      <c r="ICF3" s="964"/>
      <c r="ICG3" s="964"/>
      <c r="ICH3" s="964"/>
      <c r="ICI3" s="964"/>
      <c r="ICJ3" s="964"/>
      <c r="ICK3" s="964"/>
      <c r="ICL3" s="964"/>
      <c r="ICM3" s="964"/>
      <c r="ICN3" s="964"/>
      <c r="ICO3" s="964"/>
      <c r="ICP3" s="964"/>
      <c r="ICQ3" s="964"/>
      <c r="ICR3" s="964"/>
      <c r="ICS3" s="964"/>
      <c r="ICT3" s="964"/>
      <c r="ICU3" s="964"/>
      <c r="ICV3" s="964"/>
      <c r="ICW3" s="964"/>
      <c r="ICX3" s="964"/>
      <c r="ICY3" s="964"/>
      <c r="ICZ3" s="964"/>
      <c r="IDA3" s="964"/>
      <c r="IDB3" s="964"/>
      <c r="IDC3" s="964"/>
      <c r="IDD3" s="964"/>
      <c r="IDE3" s="964"/>
      <c r="IDF3" s="964"/>
      <c r="IDG3" s="964"/>
      <c r="IDH3" s="964"/>
      <c r="IDI3" s="964"/>
      <c r="IDJ3" s="964"/>
      <c r="IDK3" s="964"/>
      <c r="IDL3" s="964"/>
      <c r="IDM3" s="964"/>
      <c r="IDN3" s="964"/>
      <c r="IDO3" s="964"/>
      <c r="IDP3" s="964"/>
      <c r="IDQ3" s="964"/>
      <c r="IDR3" s="964"/>
      <c r="IDS3" s="964"/>
      <c r="IDT3" s="964"/>
      <c r="IDU3" s="964"/>
      <c r="IDV3" s="964"/>
      <c r="IDW3" s="964"/>
      <c r="IDX3" s="964"/>
      <c r="IDY3" s="964"/>
      <c r="IDZ3" s="964"/>
      <c r="IEA3" s="964"/>
      <c r="IEB3" s="964"/>
      <c r="IEC3" s="964"/>
      <c r="IED3" s="964"/>
      <c r="IEE3" s="964"/>
      <c r="IEF3" s="964"/>
      <c r="IEG3" s="964"/>
      <c r="IEH3" s="964"/>
      <c r="IEI3" s="964"/>
      <c r="IEJ3" s="964"/>
      <c r="IEK3" s="964"/>
      <c r="IEL3" s="964"/>
      <c r="IEM3" s="964"/>
      <c r="IEN3" s="964"/>
      <c r="IEO3" s="964"/>
      <c r="IEP3" s="964"/>
      <c r="IEQ3" s="964"/>
      <c r="IER3" s="964"/>
      <c r="IES3" s="964"/>
      <c r="IET3" s="964"/>
      <c r="IEU3" s="964"/>
      <c r="IEV3" s="964"/>
      <c r="IEW3" s="964"/>
      <c r="IEX3" s="964"/>
      <c r="IEY3" s="964"/>
      <c r="IEZ3" s="964"/>
      <c r="IFA3" s="964"/>
      <c r="IFB3" s="964"/>
      <c r="IFC3" s="964"/>
      <c r="IFD3" s="964"/>
      <c r="IFE3" s="964"/>
      <c r="IFF3" s="964"/>
      <c r="IFG3" s="964"/>
      <c r="IFH3" s="964"/>
      <c r="IFI3" s="964"/>
      <c r="IFJ3" s="964"/>
      <c r="IFK3" s="964"/>
      <c r="IFL3" s="964"/>
      <c r="IFM3" s="964"/>
      <c r="IFN3" s="964"/>
      <c r="IFO3" s="964"/>
      <c r="IFP3" s="964"/>
      <c r="IFQ3" s="964"/>
      <c r="IFR3" s="964"/>
      <c r="IFS3" s="964"/>
      <c r="IFT3" s="964"/>
      <c r="IFU3" s="964"/>
      <c r="IFV3" s="964"/>
      <c r="IFW3" s="964"/>
      <c r="IFX3" s="964"/>
      <c r="IFY3" s="964"/>
      <c r="IFZ3" s="964"/>
      <c r="IGA3" s="964"/>
      <c r="IGB3" s="964"/>
      <c r="IGC3" s="964"/>
      <c r="IGD3" s="964"/>
      <c r="IGE3" s="964"/>
      <c r="IGF3" s="964"/>
      <c r="IGG3" s="964"/>
      <c r="IGH3" s="964"/>
      <c r="IGI3" s="964"/>
      <c r="IGJ3" s="964"/>
      <c r="IGK3" s="964"/>
      <c r="IGL3" s="964"/>
      <c r="IGM3" s="964"/>
      <c r="IGN3" s="964"/>
      <c r="IGO3" s="964"/>
      <c r="IGP3" s="964"/>
      <c r="IGQ3" s="964"/>
      <c r="IGR3" s="964"/>
      <c r="IGS3" s="964"/>
      <c r="IGT3" s="964"/>
      <c r="IGU3" s="964"/>
      <c r="IGV3" s="964"/>
      <c r="IGW3" s="964"/>
      <c r="IGX3" s="964"/>
      <c r="IGY3" s="964"/>
      <c r="IGZ3" s="964"/>
      <c r="IHA3" s="964"/>
      <c r="IHB3" s="964"/>
      <c r="IHC3" s="964"/>
      <c r="IHD3" s="964"/>
      <c r="IHE3" s="964"/>
      <c r="IHF3" s="964"/>
      <c r="IHG3" s="964"/>
      <c r="IHH3" s="964"/>
      <c r="IHI3" s="964"/>
      <c r="IHJ3" s="964"/>
      <c r="IHK3" s="964"/>
      <c r="IHL3" s="964"/>
      <c r="IHM3" s="964"/>
      <c r="IHN3" s="964"/>
      <c r="IHO3" s="964"/>
      <c r="IHP3" s="964"/>
      <c r="IHQ3" s="964"/>
      <c r="IHR3" s="964"/>
      <c r="IHS3" s="964"/>
      <c r="IHT3" s="964"/>
      <c r="IHU3" s="964"/>
      <c r="IHV3" s="964"/>
      <c r="IHW3" s="964"/>
      <c r="IHX3" s="964"/>
      <c r="IHY3" s="964"/>
      <c r="IHZ3" s="964"/>
      <c r="IIA3" s="964"/>
      <c r="IIB3" s="964"/>
      <c r="IIC3" s="964"/>
      <c r="IID3" s="964"/>
      <c r="IIE3" s="964"/>
      <c r="IIF3" s="964"/>
      <c r="IIG3" s="964"/>
      <c r="IIH3" s="964"/>
      <c r="III3" s="964"/>
      <c r="IIJ3" s="964"/>
      <c r="IIK3" s="964"/>
      <c r="IIL3" s="964"/>
      <c r="IIM3" s="964"/>
      <c r="IIN3" s="964"/>
      <c r="IIO3" s="964"/>
      <c r="IIP3" s="964"/>
      <c r="IIQ3" s="964"/>
      <c r="IIR3" s="964"/>
      <c r="IIS3" s="964"/>
      <c r="IIT3" s="964"/>
      <c r="IIU3" s="964"/>
      <c r="IIV3" s="964"/>
      <c r="IIW3" s="964"/>
      <c r="IIX3" s="964"/>
      <c r="IIY3" s="964"/>
      <c r="IIZ3" s="964"/>
      <c r="IJA3" s="964"/>
      <c r="IJB3" s="964"/>
      <c r="IJC3" s="964"/>
      <c r="IJD3" s="964"/>
      <c r="IJE3" s="964"/>
      <c r="IJF3" s="964"/>
      <c r="IJG3" s="964"/>
      <c r="IJH3" s="964"/>
      <c r="IJI3" s="964"/>
      <c r="IJJ3" s="964"/>
      <c r="IJK3" s="964"/>
      <c r="IJL3" s="964"/>
      <c r="IJM3" s="964"/>
      <c r="IJN3" s="964"/>
      <c r="IJO3" s="964"/>
      <c r="IJP3" s="964"/>
      <c r="IJQ3" s="964"/>
      <c r="IJR3" s="964"/>
      <c r="IJS3" s="964"/>
      <c r="IJT3" s="964"/>
      <c r="IJU3" s="964"/>
      <c r="IJV3" s="964"/>
      <c r="IJW3" s="964"/>
      <c r="IJX3" s="964"/>
      <c r="IJY3" s="964"/>
      <c r="IJZ3" s="964"/>
      <c r="IKA3" s="964"/>
      <c r="IKB3" s="964"/>
      <c r="IKC3" s="964"/>
      <c r="IKD3" s="964"/>
      <c r="IKE3" s="964"/>
      <c r="IKF3" s="964"/>
      <c r="IKG3" s="964"/>
      <c r="IKH3" s="964"/>
      <c r="IKI3" s="964"/>
      <c r="IKJ3" s="964"/>
      <c r="IKK3" s="964"/>
      <c r="IKL3" s="964"/>
      <c r="IKM3" s="964"/>
      <c r="IKN3" s="964"/>
      <c r="IKO3" s="964"/>
      <c r="IKP3" s="964"/>
      <c r="IKQ3" s="964"/>
      <c r="IKR3" s="964"/>
      <c r="IKS3" s="964"/>
      <c r="IKT3" s="964"/>
      <c r="IKU3" s="964"/>
      <c r="IKV3" s="964"/>
      <c r="IKW3" s="964"/>
      <c r="IKX3" s="964"/>
      <c r="IKY3" s="964"/>
      <c r="IKZ3" s="964"/>
      <c r="ILA3" s="964"/>
      <c r="ILB3" s="964"/>
      <c r="ILC3" s="964"/>
      <c r="ILD3" s="964"/>
      <c r="ILE3" s="964"/>
      <c r="ILF3" s="964"/>
      <c r="ILG3" s="964"/>
      <c r="ILH3" s="964"/>
      <c r="ILI3" s="964"/>
      <c r="ILJ3" s="964"/>
      <c r="ILK3" s="964"/>
      <c r="ILL3" s="964"/>
      <c r="ILM3" s="964"/>
      <c r="ILN3" s="964"/>
      <c r="ILO3" s="964"/>
      <c r="ILP3" s="964"/>
      <c r="ILQ3" s="964"/>
      <c r="ILR3" s="964"/>
      <c r="ILS3" s="964"/>
      <c r="ILT3" s="964"/>
      <c r="ILU3" s="964"/>
      <c r="ILV3" s="964"/>
      <c r="ILW3" s="964"/>
      <c r="ILX3" s="964"/>
      <c r="ILY3" s="964"/>
      <c r="ILZ3" s="964"/>
      <c r="IMA3" s="964"/>
      <c r="IMB3" s="964"/>
      <c r="IMC3" s="964"/>
      <c r="IMD3" s="964"/>
      <c r="IME3" s="964"/>
      <c r="IMF3" s="964"/>
      <c r="IMG3" s="964"/>
      <c r="IMH3" s="964"/>
      <c r="IMI3" s="964"/>
      <c r="IMJ3" s="964"/>
      <c r="IMK3" s="964"/>
      <c r="IML3" s="964"/>
      <c r="IMM3" s="964"/>
      <c r="IMN3" s="964"/>
      <c r="IMO3" s="964"/>
      <c r="IMP3" s="964"/>
      <c r="IMQ3" s="964"/>
      <c r="IMR3" s="964"/>
      <c r="IMS3" s="964"/>
      <c r="IMT3" s="964"/>
      <c r="IMU3" s="964"/>
      <c r="IMV3" s="964"/>
      <c r="IMW3" s="964"/>
      <c r="IMX3" s="964"/>
      <c r="IMY3" s="964"/>
      <c r="IMZ3" s="964"/>
      <c r="INA3" s="964"/>
      <c r="INB3" s="964"/>
      <c r="INC3" s="964"/>
      <c r="IND3" s="964"/>
      <c r="INE3" s="964"/>
      <c r="INF3" s="964"/>
      <c r="ING3" s="964"/>
      <c r="INH3" s="964"/>
      <c r="INI3" s="964"/>
      <c r="INJ3" s="964"/>
      <c r="INK3" s="964"/>
      <c r="INL3" s="964"/>
      <c r="INM3" s="964"/>
      <c r="INN3" s="964"/>
      <c r="INO3" s="964"/>
      <c r="INP3" s="964"/>
      <c r="INQ3" s="964"/>
      <c r="INR3" s="964"/>
      <c r="INS3" s="964"/>
      <c r="INT3" s="964"/>
      <c r="INU3" s="964"/>
      <c r="INV3" s="964"/>
      <c r="INW3" s="964"/>
      <c r="INX3" s="964"/>
      <c r="INY3" s="964"/>
      <c r="INZ3" s="964"/>
      <c r="IOA3" s="964"/>
      <c r="IOB3" s="964"/>
      <c r="IOC3" s="964"/>
      <c r="IOD3" s="964"/>
      <c r="IOE3" s="964"/>
      <c r="IOF3" s="964"/>
      <c r="IOG3" s="964"/>
      <c r="IOH3" s="964"/>
      <c r="IOI3" s="964"/>
      <c r="IOJ3" s="964"/>
      <c r="IOK3" s="964"/>
      <c r="IOL3" s="964"/>
      <c r="IOM3" s="964"/>
      <c r="ION3" s="964"/>
      <c r="IOO3" s="964"/>
      <c r="IOP3" s="964"/>
      <c r="IOQ3" s="964"/>
      <c r="IOR3" s="964"/>
      <c r="IOS3" s="964"/>
      <c r="IOT3" s="964"/>
      <c r="IOU3" s="964"/>
      <c r="IOV3" s="964"/>
      <c r="IOW3" s="964"/>
      <c r="IOX3" s="964"/>
      <c r="IOY3" s="964"/>
      <c r="IOZ3" s="964"/>
      <c r="IPA3" s="964"/>
      <c r="IPB3" s="964"/>
      <c r="IPC3" s="964"/>
      <c r="IPD3" s="964"/>
      <c r="IPE3" s="964"/>
      <c r="IPF3" s="964"/>
      <c r="IPG3" s="964"/>
      <c r="IPH3" s="964"/>
      <c r="IPI3" s="964"/>
      <c r="IPJ3" s="964"/>
      <c r="IPK3" s="964"/>
      <c r="IPL3" s="964"/>
      <c r="IPM3" s="964"/>
      <c r="IPN3" s="964"/>
      <c r="IPO3" s="964"/>
      <c r="IPP3" s="964"/>
      <c r="IPQ3" s="964"/>
      <c r="IPR3" s="964"/>
      <c r="IPS3" s="964"/>
      <c r="IPT3" s="964"/>
      <c r="IPU3" s="964"/>
      <c r="IPV3" s="964"/>
      <c r="IPW3" s="964"/>
      <c r="IPX3" s="964"/>
      <c r="IPY3" s="964"/>
      <c r="IPZ3" s="964"/>
      <c r="IQA3" s="964"/>
      <c r="IQB3" s="964"/>
      <c r="IQC3" s="964"/>
      <c r="IQD3" s="964"/>
      <c r="IQE3" s="964"/>
      <c r="IQF3" s="964"/>
      <c r="IQG3" s="964"/>
      <c r="IQH3" s="964"/>
      <c r="IQI3" s="964"/>
      <c r="IQJ3" s="964"/>
      <c r="IQK3" s="964"/>
      <c r="IQL3" s="964"/>
      <c r="IQM3" s="964"/>
      <c r="IQN3" s="964"/>
      <c r="IQO3" s="964"/>
      <c r="IQP3" s="964"/>
      <c r="IQQ3" s="964"/>
      <c r="IQR3" s="964"/>
      <c r="IQS3" s="964"/>
      <c r="IQT3" s="964"/>
      <c r="IQU3" s="964"/>
      <c r="IQV3" s="964"/>
      <c r="IQW3" s="964"/>
      <c r="IQX3" s="964"/>
      <c r="IQY3" s="964"/>
      <c r="IQZ3" s="964"/>
      <c r="IRA3" s="964"/>
      <c r="IRB3" s="964"/>
      <c r="IRC3" s="964"/>
      <c r="IRD3" s="964"/>
      <c r="IRE3" s="964"/>
      <c r="IRF3" s="964"/>
      <c r="IRG3" s="964"/>
      <c r="IRH3" s="964"/>
      <c r="IRI3" s="964"/>
      <c r="IRJ3" s="964"/>
      <c r="IRK3" s="964"/>
      <c r="IRL3" s="964"/>
      <c r="IRM3" s="964"/>
      <c r="IRN3" s="964"/>
      <c r="IRO3" s="964"/>
      <c r="IRP3" s="964"/>
      <c r="IRQ3" s="964"/>
      <c r="IRR3" s="964"/>
      <c r="IRS3" s="964"/>
      <c r="IRT3" s="964"/>
      <c r="IRU3" s="964"/>
      <c r="IRV3" s="964"/>
      <c r="IRW3" s="964"/>
      <c r="IRX3" s="964"/>
      <c r="IRY3" s="964"/>
      <c r="IRZ3" s="964"/>
      <c r="ISA3" s="964"/>
      <c r="ISB3" s="964"/>
      <c r="ISC3" s="964"/>
      <c r="ISD3" s="964"/>
      <c r="ISE3" s="964"/>
      <c r="ISF3" s="964"/>
      <c r="ISG3" s="964"/>
      <c r="ISH3" s="964"/>
      <c r="ISI3" s="964"/>
      <c r="ISJ3" s="964"/>
      <c r="ISK3" s="964"/>
      <c r="ISL3" s="964"/>
      <c r="ISM3" s="964"/>
      <c r="ISN3" s="964"/>
      <c r="ISO3" s="964"/>
      <c r="ISP3" s="964"/>
      <c r="ISQ3" s="964"/>
      <c r="ISR3" s="964"/>
      <c r="ISS3" s="964"/>
      <c r="IST3" s="964"/>
      <c r="ISU3" s="964"/>
      <c r="ISV3" s="964"/>
      <c r="ISW3" s="964"/>
      <c r="ISX3" s="964"/>
      <c r="ISY3" s="964"/>
      <c r="ISZ3" s="964"/>
      <c r="ITA3" s="964"/>
      <c r="ITB3" s="964"/>
      <c r="ITC3" s="964"/>
      <c r="ITD3" s="964"/>
      <c r="ITE3" s="964"/>
      <c r="ITF3" s="964"/>
      <c r="ITG3" s="964"/>
      <c r="ITH3" s="964"/>
      <c r="ITI3" s="964"/>
      <c r="ITJ3" s="964"/>
      <c r="ITK3" s="964"/>
      <c r="ITL3" s="964"/>
      <c r="ITM3" s="964"/>
      <c r="ITN3" s="964"/>
      <c r="ITO3" s="964"/>
      <c r="ITP3" s="964"/>
      <c r="ITQ3" s="964"/>
      <c r="ITR3" s="964"/>
      <c r="ITS3" s="964"/>
      <c r="ITT3" s="964"/>
      <c r="ITU3" s="964"/>
      <c r="ITV3" s="964"/>
      <c r="ITW3" s="964"/>
      <c r="ITX3" s="964"/>
      <c r="ITY3" s="964"/>
      <c r="ITZ3" s="964"/>
      <c r="IUA3" s="964"/>
      <c r="IUB3" s="964"/>
      <c r="IUC3" s="964"/>
      <c r="IUD3" s="964"/>
      <c r="IUE3" s="964"/>
      <c r="IUF3" s="964"/>
      <c r="IUG3" s="964"/>
      <c r="IUH3" s="964"/>
      <c r="IUI3" s="964"/>
      <c r="IUJ3" s="964"/>
      <c r="IUK3" s="964"/>
      <c r="IUL3" s="964"/>
      <c r="IUM3" s="964"/>
      <c r="IUN3" s="964"/>
      <c r="IUO3" s="964"/>
      <c r="IUP3" s="964"/>
      <c r="IUQ3" s="964"/>
      <c r="IUR3" s="964"/>
      <c r="IUS3" s="964"/>
      <c r="IUT3" s="964"/>
      <c r="IUU3" s="964"/>
      <c r="IUV3" s="964"/>
      <c r="IUW3" s="964"/>
      <c r="IUX3" s="964"/>
      <c r="IUY3" s="964"/>
      <c r="IUZ3" s="964"/>
      <c r="IVA3" s="964"/>
      <c r="IVB3" s="964"/>
      <c r="IVC3" s="964"/>
      <c r="IVD3" s="964"/>
      <c r="IVE3" s="964"/>
      <c r="IVF3" s="964"/>
      <c r="IVG3" s="964"/>
      <c r="IVH3" s="964"/>
      <c r="IVI3" s="964"/>
      <c r="IVJ3" s="964"/>
      <c r="IVK3" s="964"/>
      <c r="IVL3" s="964"/>
      <c r="IVM3" s="964"/>
      <c r="IVN3" s="964"/>
      <c r="IVO3" s="964"/>
      <c r="IVP3" s="964"/>
      <c r="IVQ3" s="964"/>
      <c r="IVR3" s="964"/>
      <c r="IVS3" s="964"/>
      <c r="IVT3" s="964"/>
      <c r="IVU3" s="964"/>
      <c r="IVV3" s="964"/>
      <c r="IVW3" s="964"/>
      <c r="IVX3" s="964"/>
      <c r="IVY3" s="964"/>
      <c r="IVZ3" s="964"/>
      <c r="IWA3" s="964"/>
      <c r="IWB3" s="964"/>
      <c r="IWC3" s="964"/>
      <c r="IWD3" s="964"/>
      <c r="IWE3" s="964"/>
      <c r="IWF3" s="964"/>
      <c r="IWG3" s="964"/>
      <c r="IWH3" s="964"/>
      <c r="IWI3" s="964"/>
      <c r="IWJ3" s="964"/>
      <c r="IWK3" s="964"/>
      <c r="IWL3" s="964"/>
      <c r="IWM3" s="964"/>
      <c r="IWN3" s="964"/>
      <c r="IWO3" s="964"/>
      <c r="IWP3" s="964"/>
      <c r="IWQ3" s="964"/>
      <c r="IWR3" s="964"/>
      <c r="IWS3" s="964"/>
      <c r="IWT3" s="964"/>
      <c r="IWU3" s="964"/>
      <c r="IWV3" s="964"/>
      <c r="IWW3" s="964"/>
      <c r="IWX3" s="964"/>
      <c r="IWY3" s="964"/>
      <c r="IWZ3" s="964"/>
      <c r="IXA3" s="964"/>
      <c r="IXB3" s="964"/>
      <c r="IXC3" s="964"/>
      <c r="IXD3" s="964"/>
      <c r="IXE3" s="964"/>
      <c r="IXF3" s="964"/>
      <c r="IXG3" s="964"/>
      <c r="IXH3" s="964"/>
      <c r="IXI3" s="964"/>
      <c r="IXJ3" s="964"/>
      <c r="IXK3" s="964"/>
      <c r="IXL3" s="964"/>
      <c r="IXM3" s="964"/>
      <c r="IXN3" s="964"/>
      <c r="IXO3" s="964"/>
      <c r="IXP3" s="964"/>
      <c r="IXQ3" s="964"/>
      <c r="IXR3" s="964"/>
      <c r="IXS3" s="964"/>
      <c r="IXT3" s="964"/>
      <c r="IXU3" s="964"/>
      <c r="IXV3" s="964"/>
      <c r="IXW3" s="964"/>
      <c r="IXX3" s="964"/>
      <c r="IXY3" s="964"/>
      <c r="IXZ3" s="964"/>
      <c r="IYA3" s="964"/>
      <c r="IYB3" s="964"/>
      <c r="IYC3" s="964"/>
      <c r="IYD3" s="964"/>
      <c r="IYE3" s="964"/>
      <c r="IYF3" s="964"/>
      <c r="IYG3" s="964"/>
      <c r="IYH3" s="964"/>
      <c r="IYI3" s="964"/>
      <c r="IYJ3" s="964"/>
      <c r="IYK3" s="964"/>
      <c r="IYL3" s="964"/>
      <c r="IYM3" s="964"/>
      <c r="IYN3" s="964"/>
      <c r="IYO3" s="964"/>
      <c r="IYP3" s="964"/>
      <c r="IYQ3" s="964"/>
      <c r="IYR3" s="964"/>
      <c r="IYS3" s="964"/>
      <c r="IYT3" s="964"/>
      <c r="IYU3" s="964"/>
      <c r="IYV3" s="964"/>
      <c r="IYW3" s="964"/>
      <c r="IYX3" s="964"/>
      <c r="IYY3" s="964"/>
      <c r="IYZ3" s="964"/>
      <c r="IZA3" s="964"/>
      <c r="IZB3" s="964"/>
      <c r="IZC3" s="964"/>
      <c r="IZD3" s="964"/>
      <c r="IZE3" s="964"/>
      <c r="IZF3" s="964"/>
      <c r="IZG3" s="964"/>
      <c r="IZH3" s="964"/>
      <c r="IZI3" s="964"/>
      <c r="IZJ3" s="964"/>
      <c r="IZK3" s="964"/>
      <c r="IZL3" s="964"/>
      <c r="IZM3" s="964"/>
      <c r="IZN3" s="964"/>
      <c r="IZO3" s="964"/>
      <c r="IZP3" s="964"/>
      <c r="IZQ3" s="964"/>
      <c r="IZR3" s="964"/>
      <c r="IZS3" s="964"/>
      <c r="IZT3" s="964"/>
      <c r="IZU3" s="964"/>
      <c r="IZV3" s="964"/>
      <c r="IZW3" s="964"/>
      <c r="IZX3" s="964"/>
      <c r="IZY3" s="964"/>
      <c r="IZZ3" s="964"/>
      <c r="JAA3" s="964"/>
      <c r="JAB3" s="964"/>
      <c r="JAC3" s="964"/>
      <c r="JAD3" s="964"/>
      <c r="JAE3" s="964"/>
      <c r="JAF3" s="964"/>
      <c r="JAG3" s="964"/>
      <c r="JAH3" s="964"/>
      <c r="JAI3" s="964"/>
      <c r="JAJ3" s="964"/>
      <c r="JAK3" s="964"/>
      <c r="JAL3" s="964"/>
      <c r="JAM3" s="964"/>
      <c r="JAN3" s="964"/>
      <c r="JAO3" s="964"/>
      <c r="JAP3" s="964"/>
      <c r="JAQ3" s="964"/>
      <c r="JAR3" s="964"/>
      <c r="JAS3" s="964"/>
      <c r="JAT3" s="964"/>
      <c r="JAU3" s="964"/>
      <c r="JAV3" s="964"/>
      <c r="JAW3" s="964"/>
      <c r="JAX3" s="964"/>
      <c r="JAY3" s="964"/>
      <c r="JAZ3" s="964"/>
      <c r="JBA3" s="964"/>
      <c r="JBB3" s="964"/>
      <c r="JBC3" s="964"/>
      <c r="JBD3" s="964"/>
      <c r="JBE3" s="964"/>
      <c r="JBF3" s="964"/>
      <c r="JBG3" s="964"/>
      <c r="JBH3" s="964"/>
      <c r="JBI3" s="964"/>
      <c r="JBJ3" s="964"/>
      <c r="JBK3" s="964"/>
      <c r="JBL3" s="964"/>
      <c r="JBM3" s="964"/>
      <c r="JBN3" s="964"/>
      <c r="JBO3" s="964"/>
      <c r="JBP3" s="964"/>
      <c r="JBQ3" s="964"/>
      <c r="JBR3" s="964"/>
      <c r="JBS3" s="964"/>
      <c r="JBT3" s="964"/>
      <c r="JBU3" s="964"/>
      <c r="JBV3" s="964"/>
      <c r="JBW3" s="964"/>
      <c r="JBX3" s="964"/>
      <c r="JBY3" s="964"/>
      <c r="JBZ3" s="964"/>
      <c r="JCA3" s="964"/>
      <c r="JCB3" s="964"/>
      <c r="JCC3" s="964"/>
      <c r="JCD3" s="964"/>
      <c r="JCE3" s="964"/>
      <c r="JCF3" s="964"/>
      <c r="JCG3" s="964"/>
      <c r="JCH3" s="964"/>
      <c r="JCI3" s="964"/>
      <c r="JCJ3" s="964"/>
      <c r="JCK3" s="964"/>
      <c r="JCL3" s="964"/>
      <c r="JCM3" s="964"/>
      <c r="JCN3" s="964"/>
      <c r="JCO3" s="964"/>
      <c r="JCP3" s="964"/>
      <c r="JCQ3" s="964"/>
      <c r="JCR3" s="964"/>
      <c r="JCS3" s="964"/>
      <c r="JCT3" s="964"/>
      <c r="JCU3" s="964"/>
      <c r="JCV3" s="964"/>
      <c r="JCW3" s="964"/>
      <c r="JCX3" s="964"/>
      <c r="JCY3" s="964"/>
      <c r="JCZ3" s="964"/>
      <c r="JDA3" s="964"/>
      <c r="JDB3" s="964"/>
      <c r="JDC3" s="964"/>
      <c r="JDD3" s="964"/>
      <c r="JDE3" s="964"/>
      <c r="JDF3" s="964"/>
      <c r="JDG3" s="964"/>
      <c r="JDH3" s="964"/>
      <c r="JDI3" s="964"/>
      <c r="JDJ3" s="964"/>
      <c r="JDK3" s="964"/>
      <c r="JDL3" s="964"/>
      <c r="JDM3" s="964"/>
      <c r="JDN3" s="964"/>
      <c r="JDO3" s="964"/>
      <c r="JDP3" s="964"/>
      <c r="JDQ3" s="964"/>
      <c r="JDR3" s="964"/>
      <c r="JDS3" s="964"/>
      <c r="JDT3" s="964"/>
      <c r="JDU3" s="964"/>
      <c r="JDV3" s="964"/>
      <c r="JDW3" s="964"/>
      <c r="JDX3" s="964"/>
      <c r="JDY3" s="964"/>
      <c r="JDZ3" s="964"/>
      <c r="JEA3" s="964"/>
      <c r="JEB3" s="964"/>
      <c r="JEC3" s="964"/>
      <c r="JED3" s="964"/>
      <c r="JEE3" s="964"/>
      <c r="JEF3" s="964"/>
      <c r="JEG3" s="964"/>
      <c r="JEH3" s="964"/>
      <c r="JEI3" s="964"/>
      <c r="JEJ3" s="964"/>
      <c r="JEK3" s="964"/>
      <c r="JEL3" s="964"/>
      <c r="JEM3" s="964"/>
      <c r="JEN3" s="964"/>
      <c r="JEO3" s="964"/>
      <c r="JEP3" s="964"/>
      <c r="JEQ3" s="964"/>
      <c r="JER3" s="964"/>
      <c r="JES3" s="964"/>
      <c r="JET3" s="964"/>
      <c r="JEU3" s="964"/>
      <c r="JEV3" s="964"/>
      <c r="JEW3" s="964"/>
      <c r="JEX3" s="964"/>
      <c r="JEY3" s="964"/>
      <c r="JEZ3" s="964"/>
      <c r="JFA3" s="964"/>
      <c r="JFB3" s="964"/>
      <c r="JFC3" s="964"/>
      <c r="JFD3" s="964"/>
      <c r="JFE3" s="964"/>
      <c r="JFF3" s="964"/>
      <c r="JFG3" s="964"/>
      <c r="JFH3" s="964"/>
      <c r="JFI3" s="964"/>
      <c r="JFJ3" s="964"/>
      <c r="JFK3" s="964"/>
      <c r="JFL3" s="964"/>
      <c r="JFM3" s="964"/>
      <c r="JFN3" s="964"/>
      <c r="JFO3" s="964"/>
      <c r="JFP3" s="964"/>
      <c r="JFQ3" s="964"/>
      <c r="JFR3" s="964"/>
      <c r="JFS3" s="964"/>
      <c r="JFT3" s="964"/>
      <c r="JFU3" s="964"/>
      <c r="JFV3" s="964"/>
      <c r="JFW3" s="964"/>
      <c r="JFX3" s="964"/>
      <c r="JFY3" s="964"/>
      <c r="JFZ3" s="964"/>
      <c r="JGA3" s="964"/>
      <c r="JGB3" s="964"/>
      <c r="JGC3" s="964"/>
      <c r="JGD3" s="964"/>
      <c r="JGE3" s="964"/>
      <c r="JGF3" s="964"/>
      <c r="JGG3" s="964"/>
      <c r="JGH3" s="964"/>
      <c r="JGI3" s="964"/>
      <c r="JGJ3" s="964"/>
      <c r="JGK3" s="964"/>
      <c r="JGL3" s="964"/>
      <c r="JGM3" s="964"/>
      <c r="JGN3" s="964"/>
      <c r="JGO3" s="964"/>
      <c r="JGP3" s="964"/>
      <c r="JGQ3" s="964"/>
      <c r="JGR3" s="964"/>
      <c r="JGS3" s="964"/>
      <c r="JGT3" s="964"/>
      <c r="JGU3" s="964"/>
      <c r="JGV3" s="964"/>
      <c r="JGW3" s="964"/>
      <c r="JGX3" s="964"/>
      <c r="JGY3" s="964"/>
      <c r="JGZ3" s="964"/>
      <c r="JHA3" s="964"/>
      <c r="JHB3" s="964"/>
      <c r="JHC3" s="964"/>
      <c r="JHD3" s="964"/>
      <c r="JHE3" s="964"/>
      <c r="JHF3" s="964"/>
      <c r="JHG3" s="964"/>
      <c r="JHH3" s="964"/>
      <c r="JHI3" s="964"/>
      <c r="JHJ3" s="964"/>
      <c r="JHK3" s="964"/>
      <c r="JHL3" s="964"/>
      <c r="JHM3" s="964"/>
      <c r="JHN3" s="964"/>
      <c r="JHO3" s="964"/>
      <c r="JHP3" s="964"/>
      <c r="JHQ3" s="964"/>
      <c r="JHR3" s="964"/>
      <c r="JHS3" s="964"/>
      <c r="JHT3" s="964"/>
      <c r="JHU3" s="964"/>
      <c r="JHV3" s="964"/>
      <c r="JHW3" s="964"/>
      <c r="JHX3" s="964"/>
      <c r="JHY3" s="964"/>
      <c r="JHZ3" s="964"/>
      <c r="JIA3" s="964"/>
      <c r="JIB3" s="964"/>
      <c r="JIC3" s="964"/>
      <c r="JID3" s="964"/>
      <c r="JIE3" s="964"/>
      <c r="JIF3" s="964"/>
      <c r="JIG3" s="964"/>
      <c r="JIH3" s="964"/>
      <c r="JII3" s="964"/>
      <c r="JIJ3" s="964"/>
      <c r="JIK3" s="964"/>
      <c r="JIL3" s="964"/>
      <c r="JIM3" s="964"/>
      <c r="JIN3" s="964"/>
      <c r="JIO3" s="964"/>
      <c r="JIP3" s="964"/>
      <c r="JIQ3" s="964"/>
      <c r="JIR3" s="964"/>
      <c r="JIS3" s="964"/>
      <c r="JIT3" s="964"/>
      <c r="JIU3" s="964"/>
      <c r="JIV3" s="964"/>
      <c r="JIW3" s="964"/>
      <c r="JIX3" s="964"/>
      <c r="JIY3" s="964"/>
      <c r="JIZ3" s="964"/>
      <c r="JJA3" s="964"/>
      <c r="JJB3" s="964"/>
      <c r="JJC3" s="964"/>
      <c r="JJD3" s="964"/>
      <c r="JJE3" s="964"/>
      <c r="JJF3" s="964"/>
      <c r="JJG3" s="964"/>
      <c r="JJH3" s="964"/>
      <c r="JJI3" s="964"/>
      <c r="JJJ3" s="964"/>
      <c r="JJK3" s="964"/>
      <c r="JJL3" s="964"/>
      <c r="JJM3" s="964"/>
      <c r="JJN3" s="964"/>
      <c r="JJO3" s="964"/>
      <c r="JJP3" s="964"/>
      <c r="JJQ3" s="964"/>
      <c r="JJR3" s="964"/>
      <c r="JJS3" s="964"/>
      <c r="JJT3" s="964"/>
      <c r="JJU3" s="964"/>
      <c r="JJV3" s="964"/>
      <c r="JJW3" s="964"/>
      <c r="JJX3" s="964"/>
      <c r="JJY3" s="964"/>
      <c r="JJZ3" s="964"/>
      <c r="JKA3" s="964"/>
      <c r="JKB3" s="964"/>
      <c r="JKC3" s="964"/>
      <c r="JKD3" s="964"/>
      <c r="JKE3" s="964"/>
      <c r="JKF3" s="964"/>
      <c r="JKG3" s="964"/>
      <c r="JKH3" s="964"/>
      <c r="JKI3" s="964"/>
      <c r="JKJ3" s="964"/>
      <c r="JKK3" s="964"/>
      <c r="JKL3" s="964"/>
      <c r="JKM3" s="964"/>
      <c r="JKN3" s="964"/>
      <c r="JKO3" s="964"/>
      <c r="JKP3" s="964"/>
      <c r="JKQ3" s="964"/>
      <c r="JKR3" s="964"/>
      <c r="JKS3" s="964"/>
      <c r="JKT3" s="964"/>
      <c r="JKU3" s="964"/>
      <c r="JKV3" s="964"/>
      <c r="JKW3" s="964"/>
      <c r="JKX3" s="964"/>
      <c r="JKY3" s="964"/>
      <c r="JKZ3" s="964"/>
      <c r="JLA3" s="964"/>
      <c r="JLB3" s="964"/>
      <c r="JLC3" s="964"/>
      <c r="JLD3" s="964"/>
      <c r="JLE3" s="964"/>
      <c r="JLF3" s="964"/>
      <c r="JLG3" s="964"/>
      <c r="JLH3" s="964"/>
      <c r="JLI3" s="964"/>
      <c r="JLJ3" s="964"/>
      <c r="JLK3" s="964"/>
      <c r="JLL3" s="964"/>
      <c r="JLM3" s="964"/>
      <c r="JLN3" s="964"/>
      <c r="JLO3" s="964"/>
      <c r="JLP3" s="964"/>
      <c r="JLQ3" s="964"/>
      <c r="JLR3" s="964"/>
      <c r="JLS3" s="964"/>
      <c r="JLT3" s="964"/>
      <c r="JLU3" s="964"/>
      <c r="JLV3" s="964"/>
      <c r="JLW3" s="964"/>
      <c r="JLX3" s="964"/>
      <c r="JLY3" s="964"/>
      <c r="JLZ3" s="964"/>
      <c r="JMA3" s="964"/>
      <c r="JMB3" s="964"/>
      <c r="JMC3" s="964"/>
      <c r="JMD3" s="964"/>
      <c r="JME3" s="964"/>
      <c r="JMF3" s="964"/>
      <c r="JMG3" s="964"/>
      <c r="JMH3" s="964"/>
      <c r="JMI3" s="964"/>
      <c r="JMJ3" s="964"/>
      <c r="JMK3" s="964"/>
      <c r="JML3" s="964"/>
      <c r="JMM3" s="964"/>
      <c r="JMN3" s="964"/>
      <c r="JMO3" s="964"/>
      <c r="JMP3" s="964"/>
      <c r="JMQ3" s="964"/>
      <c r="JMR3" s="964"/>
      <c r="JMS3" s="964"/>
      <c r="JMT3" s="964"/>
      <c r="JMU3" s="964"/>
      <c r="JMV3" s="964"/>
      <c r="JMW3" s="964"/>
      <c r="JMX3" s="964"/>
      <c r="JMY3" s="964"/>
      <c r="JMZ3" s="964"/>
      <c r="JNA3" s="964"/>
      <c r="JNB3" s="964"/>
      <c r="JNC3" s="964"/>
      <c r="JND3" s="964"/>
      <c r="JNE3" s="964"/>
      <c r="JNF3" s="964"/>
      <c r="JNG3" s="964"/>
      <c r="JNH3" s="964"/>
      <c r="JNI3" s="964"/>
      <c r="JNJ3" s="964"/>
      <c r="JNK3" s="964"/>
      <c r="JNL3" s="964"/>
      <c r="JNM3" s="964"/>
      <c r="JNN3" s="964"/>
      <c r="JNO3" s="964"/>
      <c r="JNP3" s="964"/>
      <c r="JNQ3" s="964"/>
      <c r="JNR3" s="964"/>
      <c r="JNS3" s="964"/>
      <c r="JNT3" s="964"/>
      <c r="JNU3" s="964"/>
      <c r="JNV3" s="964"/>
      <c r="JNW3" s="964"/>
      <c r="JNX3" s="964"/>
      <c r="JNY3" s="964"/>
      <c r="JNZ3" s="964"/>
      <c r="JOA3" s="964"/>
      <c r="JOB3" s="964"/>
      <c r="JOC3" s="964"/>
      <c r="JOD3" s="964"/>
      <c r="JOE3" s="964"/>
      <c r="JOF3" s="964"/>
      <c r="JOG3" s="964"/>
      <c r="JOH3" s="964"/>
      <c r="JOI3" s="964"/>
      <c r="JOJ3" s="964"/>
      <c r="JOK3" s="964"/>
      <c r="JOL3" s="964"/>
      <c r="JOM3" s="964"/>
      <c r="JON3" s="964"/>
      <c r="JOO3" s="964"/>
      <c r="JOP3" s="964"/>
      <c r="JOQ3" s="964"/>
      <c r="JOR3" s="964"/>
      <c r="JOS3" s="964"/>
      <c r="JOT3" s="964"/>
      <c r="JOU3" s="964"/>
      <c r="JOV3" s="964"/>
      <c r="JOW3" s="964"/>
      <c r="JOX3" s="964"/>
      <c r="JOY3" s="964"/>
      <c r="JOZ3" s="964"/>
      <c r="JPA3" s="964"/>
      <c r="JPB3" s="964"/>
      <c r="JPC3" s="964"/>
      <c r="JPD3" s="964"/>
      <c r="JPE3" s="964"/>
      <c r="JPF3" s="964"/>
      <c r="JPG3" s="964"/>
      <c r="JPH3" s="964"/>
      <c r="JPI3" s="964"/>
      <c r="JPJ3" s="964"/>
      <c r="JPK3" s="964"/>
      <c r="JPL3" s="964"/>
      <c r="JPM3" s="964"/>
      <c r="JPN3" s="964"/>
      <c r="JPO3" s="964"/>
      <c r="JPP3" s="964"/>
      <c r="JPQ3" s="964"/>
      <c r="JPR3" s="964"/>
      <c r="JPS3" s="964"/>
      <c r="JPT3" s="964"/>
      <c r="JPU3" s="964"/>
      <c r="JPV3" s="964"/>
      <c r="JPW3" s="964"/>
      <c r="JPX3" s="964"/>
      <c r="JPY3" s="964"/>
      <c r="JPZ3" s="964"/>
      <c r="JQA3" s="964"/>
      <c r="JQB3" s="964"/>
      <c r="JQC3" s="964"/>
      <c r="JQD3" s="964"/>
      <c r="JQE3" s="964"/>
      <c r="JQF3" s="964"/>
      <c r="JQG3" s="964"/>
      <c r="JQH3" s="964"/>
      <c r="JQI3" s="964"/>
      <c r="JQJ3" s="964"/>
      <c r="JQK3" s="964"/>
      <c r="JQL3" s="964"/>
      <c r="JQM3" s="964"/>
      <c r="JQN3" s="964"/>
      <c r="JQO3" s="964"/>
      <c r="JQP3" s="964"/>
      <c r="JQQ3" s="964"/>
      <c r="JQR3" s="964"/>
      <c r="JQS3" s="964"/>
      <c r="JQT3" s="964"/>
      <c r="JQU3" s="964"/>
      <c r="JQV3" s="964"/>
      <c r="JQW3" s="964"/>
      <c r="JQX3" s="964"/>
      <c r="JQY3" s="964"/>
      <c r="JQZ3" s="964"/>
      <c r="JRA3" s="964"/>
      <c r="JRB3" s="964"/>
      <c r="JRC3" s="964"/>
      <c r="JRD3" s="964"/>
      <c r="JRE3" s="964"/>
      <c r="JRF3" s="964"/>
      <c r="JRG3" s="964"/>
      <c r="JRH3" s="964"/>
      <c r="JRI3" s="964"/>
      <c r="JRJ3" s="964"/>
      <c r="JRK3" s="964"/>
      <c r="JRL3" s="964"/>
      <c r="JRM3" s="964"/>
      <c r="JRN3" s="964"/>
      <c r="JRO3" s="964"/>
      <c r="JRP3" s="964"/>
      <c r="JRQ3" s="964"/>
      <c r="JRR3" s="964"/>
      <c r="JRS3" s="964"/>
      <c r="JRT3" s="964"/>
      <c r="JRU3" s="964"/>
      <c r="JRV3" s="964"/>
      <c r="JRW3" s="964"/>
      <c r="JRX3" s="964"/>
      <c r="JRY3" s="964"/>
      <c r="JRZ3" s="964"/>
      <c r="JSA3" s="964"/>
      <c r="JSB3" s="964"/>
      <c r="JSC3" s="964"/>
      <c r="JSD3" s="964"/>
      <c r="JSE3" s="964"/>
      <c r="JSF3" s="964"/>
      <c r="JSG3" s="964"/>
      <c r="JSH3" s="964"/>
      <c r="JSI3" s="964"/>
      <c r="JSJ3" s="964"/>
      <c r="JSK3" s="964"/>
      <c r="JSL3" s="964"/>
      <c r="JSM3" s="964"/>
      <c r="JSN3" s="964"/>
      <c r="JSO3" s="964"/>
      <c r="JSP3" s="964"/>
      <c r="JSQ3" s="964"/>
      <c r="JSR3" s="964"/>
      <c r="JSS3" s="964"/>
      <c r="JST3" s="964"/>
      <c r="JSU3" s="964"/>
      <c r="JSV3" s="964"/>
      <c r="JSW3" s="964"/>
      <c r="JSX3" s="964"/>
      <c r="JSY3" s="964"/>
      <c r="JSZ3" s="964"/>
      <c r="JTA3" s="964"/>
      <c r="JTB3" s="964"/>
      <c r="JTC3" s="964"/>
      <c r="JTD3" s="964"/>
      <c r="JTE3" s="964"/>
      <c r="JTF3" s="964"/>
      <c r="JTG3" s="964"/>
      <c r="JTH3" s="964"/>
      <c r="JTI3" s="964"/>
      <c r="JTJ3" s="964"/>
      <c r="JTK3" s="964"/>
      <c r="JTL3" s="964"/>
      <c r="JTM3" s="964"/>
      <c r="JTN3" s="964"/>
      <c r="JTO3" s="964"/>
      <c r="JTP3" s="964"/>
      <c r="JTQ3" s="964"/>
      <c r="JTR3" s="964"/>
      <c r="JTS3" s="964"/>
      <c r="JTT3" s="964"/>
      <c r="JTU3" s="964"/>
      <c r="JTV3" s="964"/>
      <c r="JTW3" s="964"/>
      <c r="JTX3" s="964"/>
      <c r="JTY3" s="964"/>
      <c r="JTZ3" s="964"/>
      <c r="JUA3" s="964"/>
      <c r="JUB3" s="964"/>
      <c r="JUC3" s="964"/>
      <c r="JUD3" s="964"/>
      <c r="JUE3" s="964"/>
      <c r="JUF3" s="964"/>
      <c r="JUG3" s="964"/>
      <c r="JUH3" s="964"/>
      <c r="JUI3" s="964"/>
      <c r="JUJ3" s="964"/>
      <c r="JUK3" s="964"/>
      <c r="JUL3" s="964"/>
      <c r="JUM3" s="964"/>
      <c r="JUN3" s="964"/>
      <c r="JUO3" s="964"/>
      <c r="JUP3" s="964"/>
      <c r="JUQ3" s="964"/>
      <c r="JUR3" s="964"/>
      <c r="JUS3" s="964"/>
      <c r="JUT3" s="964"/>
      <c r="JUU3" s="964"/>
      <c r="JUV3" s="964"/>
      <c r="JUW3" s="964"/>
      <c r="JUX3" s="964"/>
      <c r="JUY3" s="964"/>
      <c r="JUZ3" s="964"/>
      <c r="JVA3" s="964"/>
      <c r="JVB3" s="964"/>
      <c r="JVC3" s="964"/>
      <c r="JVD3" s="964"/>
      <c r="JVE3" s="964"/>
      <c r="JVF3" s="964"/>
      <c r="JVG3" s="964"/>
      <c r="JVH3" s="964"/>
      <c r="JVI3" s="964"/>
      <c r="JVJ3" s="964"/>
      <c r="JVK3" s="964"/>
      <c r="JVL3" s="964"/>
      <c r="JVM3" s="964"/>
      <c r="JVN3" s="964"/>
      <c r="JVO3" s="964"/>
      <c r="JVP3" s="964"/>
      <c r="JVQ3" s="964"/>
      <c r="JVR3" s="964"/>
      <c r="JVS3" s="964"/>
      <c r="JVT3" s="964"/>
      <c r="JVU3" s="964"/>
      <c r="JVV3" s="964"/>
      <c r="JVW3" s="964"/>
      <c r="JVX3" s="964"/>
      <c r="JVY3" s="964"/>
      <c r="JVZ3" s="964"/>
      <c r="JWA3" s="964"/>
      <c r="JWB3" s="964"/>
      <c r="JWC3" s="964"/>
      <c r="JWD3" s="964"/>
      <c r="JWE3" s="964"/>
      <c r="JWF3" s="964"/>
      <c r="JWG3" s="964"/>
      <c r="JWH3" s="964"/>
      <c r="JWI3" s="964"/>
      <c r="JWJ3" s="964"/>
      <c r="JWK3" s="964"/>
      <c r="JWL3" s="964"/>
      <c r="JWM3" s="964"/>
      <c r="JWN3" s="964"/>
      <c r="JWO3" s="964"/>
      <c r="JWP3" s="964"/>
      <c r="JWQ3" s="964"/>
      <c r="JWR3" s="964"/>
      <c r="JWS3" s="964"/>
      <c r="JWT3" s="964"/>
      <c r="JWU3" s="964"/>
      <c r="JWV3" s="964"/>
      <c r="JWW3" s="964"/>
      <c r="JWX3" s="964"/>
      <c r="JWY3" s="964"/>
      <c r="JWZ3" s="964"/>
      <c r="JXA3" s="964"/>
      <c r="JXB3" s="964"/>
      <c r="JXC3" s="964"/>
      <c r="JXD3" s="964"/>
      <c r="JXE3" s="964"/>
      <c r="JXF3" s="964"/>
      <c r="JXG3" s="964"/>
      <c r="JXH3" s="964"/>
      <c r="JXI3" s="964"/>
      <c r="JXJ3" s="964"/>
      <c r="JXK3" s="964"/>
      <c r="JXL3" s="964"/>
      <c r="JXM3" s="964"/>
      <c r="JXN3" s="964"/>
      <c r="JXO3" s="964"/>
      <c r="JXP3" s="964"/>
      <c r="JXQ3" s="964"/>
      <c r="JXR3" s="964"/>
      <c r="JXS3" s="964"/>
      <c r="JXT3" s="964"/>
      <c r="JXU3" s="964"/>
      <c r="JXV3" s="964"/>
      <c r="JXW3" s="964"/>
      <c r="JXX3" s="964"/>
      <c r="JXY3" s="964"/>
      <c r="JXZ3" s="964"/>
      <c r="JYA3" s="964"/>
      <c r="JYB3" s="964"/>
      <c r="JYC3" s="964"/>
      <c r="JYD3" s="964"/>
      <c r="JYE3" s="964"/>
      <c r="JYF3" s="964"/>
      <c r="JYG3" s="964"/>
      <c r="JYH3" s="964"/>
      <c r="JYI3" s="964"/>
      <c r="JYJ3" s="964"/>
      <c r="JYK3" s="964"/>
      <c r="JYL3" s="964"/>
      <c r="JYM3" s="964"/>
      <c r="JYN3" s="964"/>
      <c r="JYO3" s="964"/>
      <c r="JYP3" s="964"/>
      <c r="JYQ3" s="964"/>
      <c r="JYR3" s="964"/>
      <c r="JYS3" s="964"/>
      <c r="JYT3" s="964"/>
      <c r="JYU3" s="964"/>
      <c r="JYV3" s="964"/>
      <c r="JYW3" s="964"/>
      <c r="JYX3" s="964"/>
      <c r="JYY3" s="964"/>
      <c r="JYZ3" s="964"/>
      <c r="JZA3" s="964"/>
      <c r="JZB3" s="964"/>
      <c r="JZC3" s="964"/>
      <c r="JZD3" s="964"/>
      <c r="JZE3" s="964"/>
      <c r="JZF3" s="964"/>
      <c r="JZG3" s="964"/>
      <c r="JZH3" s="964"/>
      <c r="JZI3" s="964"/>
      <c r="JZJ3" s="964"/>
      <c r="JZK3" s="964"/>
      <c r="JZL3" s="964"/>
      <c r="JZM3" s="964"/>
      <c r="JZN3" s="964"/>
      <c r="JZO3" s="964"/>
      <c r="JZP3" s="964"/>
      <c r="JZQ3" s="964"/>
      <c r="JZR3" s="964"/>
      <c r="JZS3" s="964"/>
      <c r="JZT3" s="964"/>
      <c r="JZU3" s="964"/>
      <c r="JZV3" s="964"/>
      <c r="JZW3" s="964"/>
      <c r="JZX3" s="964"/>
      <c r="JZY3" s="964"/>
      <c r="JZZ3" s="964"/>
      <c r="KAA3" s="964"/>
      <c r="KAB3" s="964"/>
      <c r="KAC3" s="964"/>
      <c r="KAD3" s="964"/>
      <c r="KAE3" s="964"/>
      <c r="KAF3" s="964"/>
      <c r="KAG3" s="964"/>
      <c r="KAH3" s="964"/>
      <c r="KAI3" s="964"/>
      <c r="KAJ3" s="964"/>
      <c r="KAK3" s="964"/>
      <c r="KAL3" s="964"/>
      <c r="KAM3" s="964"/>
      <c r="KAN3" s="964"/>
      <c r="KAO3" s="964"/>
      <c r="KAP3" s="964"/>
      <c r="KAQ3" s="964"/>
      <c r="KAR3" s="964"/>
      <c r="KAS3" s="964"/>
      <c r="KAT3" s="964"/>
      <c r="KAU3" s="964"/>
      <c r="KAV3" s="964"/>
      <c r="KAW3" s="964"/>
      <c r="KAX3" s="964"/>
      <c r="KAY3" s="964"/>
      <c r="KAZ3" s="964"/>
      <c r="KBA3" s="964"/>
      <c r="KBB3" s="964"/>
      <c r="KBC3" s="964"/>
      <c r="KBD3" s="964"/>
      <c r="KBE3" s="964"/>
      <c r="KBF3" s="964"/>
      <c r="KBG3" s="964"/>
      <c r="KBH3" s="964"/>
      <c r="KBI3" s="964"/>
      <c r="KBJ3" s="964"/>
      <c r="KBK3" s="964"/>
      <c r="KBL3" s="964"/>
      <c r="KBM3" s="964"/>
      <c r="KBN3" s="964"/>
      <c r="KBO3" s="964"/>
      <c r="KBP3" s="964"/>
      <c r="KBQ3" s="964"/>
      <c r="KBR3" s="964"/>
      <c r="KBS3" s="964"/>
      <c r="KBT3" s="964"/>
      <c r="KBU3" s="964"/>
      <c r="KBV3" s="964"/>
      <c r="KBW3" s="964"/>
      <c r="KBX3" s="964"/>
      <c r="KBY3" s="964"/>
      <c r="KBZ3" s="964"/>
      <c r="KCA3" s="964"/>
      <c r="KCB3" s="964"/>
      <c r="KCC3" s="964"/>
      <c r="KCD3" s="964"/>
      <c r="KCE3" s="964"/>
      <c r="KCF3" s="964"/>
      <c r="KCG3" s="964"/>
      <c r="KCH3" s="964"/>
      <c r="KCI3" s="964"/>
      <c r="KCJ3" s="964"/>
      <c r="KCK3" s="964"/>
      <c r="KCL3" s="964"/>
      <c r="KCM3" s="964"/>
      <c r="KCN3" s="964"/>
      <c r="KCO3" s="964"/>
      <c r="KCP3" s="964"/>
      <c r="KCQ3" s="964"/>
      <c r="KCR3" s="964"/>
      <c r="KCS3" s="964"/>
      <c r="KCT3" s="964"/>
      <c r="KCU3" s="964"/>
      <c r="KCV3" s="964"/>
      <c r="KCW3" s="964"/>
      <c r="KCX3" s="964"/>
      <c r="KCY3" s="964"/>
      <c r="KCZ3" s="964"/>
      <c r="KDA3" s="964"/>
      <c r="KDB3" s="964"/>
      <c r="KDC3" s="964"/>
      <c r="KDD3" s="964"/>
      <c r="KDE3" s="964"/>
      <c r="KDF3" s="964"/>
      <c r="KDG3" s="964"/>
      <c r="KDH3" s="964"/>
      <c r="KDI3" s="964"/>
      <c r="KDJ3" s="964"/>
      <c r="KDK3" s="964"/>
      <c r="KDL3" s="964"/>
      <c r="KDM3" s="964"/>
      <c r="KDN3" s="964"/>
      <c r="KDO3" s="964"/>
      <c r="KDP3" s="964"/>
      <c r="KDQ3" s="964"/>
      <c r="KDR3" s="964"/>
      <c r="KDS3" s="964"/>
      <c r="KDT3" s="964"/>
      <c r="KDU3" s="964"/>
      <c r="KDV3" s="964"/>
      <c r="KDW3" s="964"/>
      <c r="KDX3" s="964"/>
      <c r="KDY3" s="964"/>
      <c r="KDZ3" s="964"/>
      <c r="KEA3" s="964"/>
      <c r="KEB3" s="964"/>
      <c r="KEC3" s="964"/>
      <c r="KED3" s="964"/>
      <c r="KEE3" s="964"/>
      <c r="KEF3" s="964"/>
      <c r="KEG3" s="964"/>
      <c r="KEH3" s="964"/>
      <c r="KEI3" s="964"/>
      <c r="KEJ3" s="964"/>
      <c r="KEK3" s="964"/>
      <c r="KEL3" s="964"/>
      <c r="KEM3" s="964"/>
      <c r="KEN3" s="964"/>
      <c r="KEO3" s="964"/>
      <c r="KEP3" s="964"/>
      <c r="KEQ3" s="964"/>
      <c r="KER3" s="964"/>
      <c r="KES3" s="964"/>
      <c r="KET3" s="964"/>
      <c r="KEU3" s="964"/>
      <c r="KEV3" s="964"/>
      <c r="KEW3" s="964"/>
      <c r="KEX3" s="964"/>
      <c r="KEY3" s="964"/>
      <c r="KEZ3" s="964"/>
      <c r="KFA3" s="964"/>
      <c r="KFB3" s="964"/>
      <c r="KFC3" s="964"/>
      <c r="KFD3" s="964"/>
      <c r="KFE3" s="964"/>
      <c r="KFF3" s="964"/>
      <c r="KFG3" s="964"/>
      <c r="KFH3" s="964"/>
      <c r="KFI3" s="964"/>
      <c r="KFJ3" s="964"/>
      <c r="KFK3" s="964"/>
      <c r="KFL3" s="964"/>
      <c r="KFM3" s="964"/>
      <c r="KFN3" s="964"/>
      <c r="KFO3" s="964"/>
      <c r="KFP3" s="964"/>
      <c r="KFQ3" s="964"/>
      <c r="KFR3" s="964"/>
      <c r="KFS3" s="964"/>
      <c r="KFT3" s="964"/>
      <c r="KFU3" s="964"/>
      <c r="KFV3" s="964"/>
      <c r="KFW3" s="964"/>
      <c r="KFX3" s="964"/>
      <c r="KFY3" s="964"/>
      <c r="KFZ3" s="964"/>
      <c r="KGA3" s="964"/>
      <c r="KGB3" s="964"/>
      <c r="KGC3" s="964"/>
      <c r="KGD3" s="964"/>
      <c r="KGE3" s="964"/>
      <c r="KGF3" s="964"/>
      <c r="KGG3" s="964"/>
      <c r="KGH3" s="964"/>
      <c r="KGI3" s="964"/>
      <c r="KGJ3" s="964"/>
      <c r="KGK3" s="964"/>
      <c r="KGL3" s="964"/>
      <c r="KGM3" s="964"/>
      <c r="KGN3" s="964"/>
      <c r="KGO3" s="964"/>
      <c r="KGP3" s="964"/>
      <c r="KGQ3" s="964"/>
      <c r="KGR3" s="964"/>
      <c r="KGS3" s="964"/>
      <c r="KGT3" s="964"/>
      <c r="KGU3" s="964"/>
      <c r="KGV3" s="964"/>
      <c r="KGW3" s="964"/>
      <c r="KGX3" s="964"/>
      <c r="KGY3" s="964"/>
      <c r="KGZ3" s="964"/>
      <c r="KHA3" s="964"/>
      <c r="KHB3" s="964"/>
      <c r="KHC3" s="964"/>
      <c r="KHD3" s="964"/>
      <c r="KHE3" s="964"/>
      <c r="KHF3" s="964"/>
      <c r="KHG3" s="964"/>
      <c r="KHH3" s="964"/>
      <c r="KHI3" s="964"/>
      <c r="KHJ3" s="964"/>
      <c r="KHK3" s="964"/>
      <c r="KHL3" s="964"/>
      <c r="KHM3" s="964"/>
      <c r="KHN3" s="964"/>
      <c r="KHO3" s="964"/>
      <c r="KHP3" s="964"/>
      <c r="KHQ3" s="964"/>
      <c r="KHR3" s="964"/>
      <c r="KHS3" s="964"/>
      <c r="KHT3" s="964"/>
      <c r="KHU3" s="964"/>
      <c r="KHV3" s="964"/>
      <c r="KHW3" s="964"/>
      <c r="KHX3" s="964"/>
      <c r="KHY3" s="964"/>
      <c r="KHZ3" s="964"/>
      <c r="KIA3" s="964"/>
      <c r="KIB3" s="964"/>
      <c r="KIC3" s="964"/>
      <c r="KID3" s="964"/>
      <c r="KIE3" s="964"/>
      <c r="KIF3" s="964"/>
      <c r="KIG3" s="964"/>
      <c r="KIH3" s="964"/>
      <c r="KII3" s="964"/>
      <c r="KIJ3" s="964"/>
      <c r="KIK3" s="964"/>
      <c r="KIL3" s="964"/>
      <c r="KIM3" s="964"/>
      <c r="KIN3" s="964"/>
      <c r="KIO3" s="964"/>
      <c r="KIP3" s="964"/>
      <c r="KIQ3" s="964"/>
      <c r="KIR3" s="964"/>
      <c r="KIS3" s="964"/>
      <c r="KIT3" s="964"/>
      <c r="KIU3" s="964"/>
      <c r="KIV3" s="964"/>
      <c r="KIW3" s="964"/>
      <c r="KIX3" s="964"/>
      <c r="KIY3" s="964"/>
      <c r="KIZ3" s="964"/>
      <c r="KJA3" s="964"/>
      <c r="KJB3" s="964"/>
      <c r="KJC3" s="964"/>
      <c r="KJD3" s="964"/>
      <c r="KJE3" s="964"/>
      <c r="KJF3" s="964"/>
      <c r="KJG3" s="964"/>
      <c r="KJH3" s="964"/>
      <c r="KJI3" s="964"/>
      <c r="KJJ3" s="964"/>
      <c r="KJK3" s="964"/>
      <c r="KJL3" s="964"/>
      <c r="KJM3" s="964"/>
      <c r="KJN3" s="964"/>
      <c r="KJO3" s="964"/>
      <c r="KJP3" s="964"/>
      <c r="KJQ3" s="964"/>
      <c r="KJR3" s="964"/>
      <c r="KJS3" s="964"/>
      <c r="KJT3" s="964"/>
      <c r="KJU3" s="964"/>
      <c r="KJV3" s="964"/>
      <c r="KJW3" s="964"/>
      <c r="KJX3" s="964"/>
      <c r="KJY3" s="964"/>
      <c r="KJZ3" s="964"/>
      <c r="KKA3" s="964"/>
      <c r="KKB3" s="964"/>
      <c r="KKC3" s="964"/>
      <c r="KKD3" s="964"/>
      <c r="KKE3" s="964"/>
      <c r="KKF3" s="964"/>
      <c r="KKG3" s="964"/>
      <c r="KKH3" s="964"/>
      <c r="KKI3" s="964"/>
      <c r="KKJ3" s="964"/>
      <c r="KKK3" s="964"/>
      <c r="KKL3" s="964"/>
      <c r="KKM3" s="964"/>
      <c r="KKN3" s="964"/>
      <c r="KKO3" s="964"/>
      <c r="KKP3" s="964"/>
      <c r="KKQ3" s="964"/>
      <c r="KKR3" s="964"/>
      <c r="KKS3" s="964"/>
      <c r="KKT3" s="964"/>
      <c r="KKU3" s="964"/>
      <c r="KKV3" s="964"/>
      <c r="KKW3" s="964"/>
      <c r="KKX3" s="964"/>
      <c r="KKY3" s="964"/>
      <c r="KKZ3" s="964"/>
      <c r="KLA3" s="964"/>
      <c r="KLB3" s="964"/>
      <c r="KLC3" s="964"/>
      <c r="KLD3" s="964"/>
      <c r="KLE3" s="964"/>
      <c r="KLF3" s="964"/>
      <c r="KLG3" s="964"/>
      <c r="KLH3" s="964"/>
      <c r="KLI3" s="964"/>
      <c r="KLJ3" s="964"/>
      <c r="KLK3" s="964"/>
      <c r="KLL3" s="964"/>
      <c r="KLM3" s="964"/>
      <c r="KLN3" s="964"/>
      <c r="KLO3" s="964"/>
      <c r="KLP3" s="964"/>
      <c r="KLQ3" s="964"/>
      <c r="KLR3" s="964"/>
      <c r="KLS3" s="964"/>
      <c r="KLT3" s="964"/>
      <c r="KLU3" s="964"/>
      <c r="KLV3" s="964"/>
      <c r="KLW3" s="964"/>
      <c r="KLX3" s="964"/>
      <c r="KLY3" s="964"/>
      <c r="KLZ3" s="964"/>
      <c r="KMA3" s="964"/>
      <c r="KMB3" s="964"/>
      <c r="KMC3" s="964"/>
      <c r="KMD3" s="964"/>
      <c r="KME3" s="964"/>
      <c r="KMF3" s="964"/>
      <c r="KMG3" s="964"/>
      <c r="KMH3" s="964"/>
      <c r="KMI3" s="964"/>
      <c r="KMJ3" s="964"/>
      <c r="KMK3" s="964"/>
      <c r="KML3" s="964"/>
      <c r="KMM3" s="964"/>
      <c r="KMN3" s="964"/>
      <c r="KMO3" s="964"/>
      <c r="KMP3" s="964"/>
      <c r="KMQ3" s="964"/>
      <c r="KMR3" s="964"/>
      <c r="KMS3" s="964"/>
      <c r="KMT3" s="964"/>
      <c r="KMU3" s="964"/>
      <c r="KMV3" s="964"/>
      <c r="KMW3" s="964"/>
      <c r="KMX3" s="964"/>
      <c r="KMY3" s="964"/>
      <c r="KMZ3" s="964"/>
      <c r="KNA3" s="964"/>
      <c r="KNB3" s="964"/>
      <c r="KNC3" s="964"/>
      <c r="KND3" s="964"/>
      <c r="KNE3" s="964"/>
      <c r="KNF3" s="964"/>
      <c r="KNG3" s="964"/>
      <c r="KNH3" s="964"/>
      <c r="KNI3" s="964"/>
      <c r="KNJ3" s="964"/>
      <c r="KNK3" s="964"/>
      <c r="KNL3" s="964"/>
      <c r="KNM3" s="964"/>
      <c r="KNN3" s="964"/>
      <c r="KNO3" s="964"/>
      <c r="KNP3" s="964"/>
      <c r="KNQ3" s="964"/>
      <c r="KNR3" s="964"/>
      <c r="KNS3" s="964"/>
      <c r="KNT3" s="964"/>
      <c r="KNU3" s="964"/>
      <c r="KNV3" s="964"/>
      <c r="KNW3" s="964"/>
      <c r="KNX3" s="964"/>
      <c r="KNY3" s="964"/>
      <c r="KNZ3" s="964"/>
      <c r="KOA3" s="964"/>
      <c r="KOB3" s="964"/>
      <c r="KOC3" s="964"/>
      <c r="KOD3" s="964"/>
      <c r="KOE3" s="964"/>
      <c r="KOF3" s="964"/>
      <c r="KOG3" s="964"/>
      <c r="KOH3" s="964"/>
      <c r="KOI3" s="964"/>
      <c r="KOJ3" s="964"/>
      <c r="KOK3" s="964"/>
      <c r="KOL3" s="964"/>
      <c r="KOM3" s="964"/>
      <c r="KON3" s="964"/>
      <c r="KOO3" s="964"/>
      <c r="KOP3" s="964"/>
      <c r="KOQ3" s="964"/>
      <c r="KOR3" s="964"/>
      <c r="KOS3" s="964"/>
      <c r="KOT3" s="964"/>
      <c r="KOU3" s="964"/>
      <c r="KOV3" s="964"/>
      <c r="KOW3" s="964"/>
      <c r="KOX3" s="964"/>
      <c r="KOY3" s="964"/>
      <c r="KOZ3" s="964"/>
      <c r="KPA3" s="964"/>
      <c r="KPB3" s="964"/>
      <c r="KPC3" s="964"/>
      <c r="KPD3" s="964"/>
      <c r="KPE3" s="964"/>
      <c r="KPF3" s="964"/>
      <c r="KPG3" s="964"/>
      <c r="KPH3" s="964"/>
      <c r="KPI3" s="964"/>
      <c r="KPJ3" s="964"/>
      <c r="KPK3" s="964"/>
      <c r="KPL3" s="964"/>
      <c r="KPM3" s="964"/>
      <c r="KPN3" s="964"/>
      <c r="KPO3" s="964"/>
      <c r="KPP3" s="964"/>
      <c r="KPQ3" s="964"/>
      <c r="KPR3" s="964"/>
      <c r="KPS3" s="964"/>
      <c r="KPT3" s="964"/>
      <c r="KPU3" s="964"/>
      <c r="KPV3" s="964"/>
      <c r="KPW3" s="964"/>
      <c r="KPX3" s="964"/>
      <c r="KPY3" s="964"/>
      <c r="KPZ3" s="964"/>
      <c r="KQA3" s="964"/>
      <c r="KQB3" s="964"/>
      <c r="KQC3" s="964"/>
      <c r="KQD3" s="964"/>
      <c r="KQE3" s="964"/>
      <c r="KQF3" s="964"/>
      <c r="KQG3" s="964"/>
      <c r="KQH3" s="964"/>
      <c r="KQI3" s="964"/>
      <c r="KQJ3" s="964"/>
      <c r="KQK3" s="964"/>
      <c r="KQL3" s="964"/>
      <c r="KQM3" s="964"/>
      <c r="KQN3" s="964"/>
      <c r="KQO3" s="964"/>
      <c r="KQP3" s="964"/>
      <c r="KQQ3" s="964"/>
      <c r="KQR3" s="964"/>
      <c r="KQS3" s="964"/>
      <c r="KQT3" s="964"/>
      <c r="KQU3" s="964"/>
      <c r="KQV3" s="964"/>
      <c r="KQW3" s="964"/>
      <c r="KQX3" s="964"/>
      <c r="KQY3" s="964"/>
      <c r="KQZ3" s="964"/>
      <c r="KRA3" s="964"/>
      <c r="KRB3" s="964"/>
      <c r="KRC3" s="964"/>
      <c r="KRD3" s="964"/>
      <c r="KRE3" s="964"/>
      <c r="KRF3" s="964"/>
      <c r="KRG3" s="964"/>
      <c r="KRH3" s="964"/>
      <c r="KRI3" s="964"/>
      <c r="KRJ3" s="964"/>
      <c r="KRK3" s="964"/>
      <c r="KRL3" s="964"/>
      <c r="KRM3" s="964"/>
      <c r="KRN3" s="964"/>
      <c r="KRO3" s="964"/>
      <c r="KRP3" s="964"/>
      <c r="KRQ3" s="964"/>
      <c r="KRR3" s="964"/>
      <c r="KRS3" s="964"/>
      <c r="KRT3" s="964"/>
      <c r="KRU3" s="964"/>
      <c r="KRV3" s="964"/>
      <c r="KRW3" s="964"/>
      <c r="KRX3" s="964"/>
      <c r="KRY3" s="964"/>
      <c r="KRZ3" s="964"/>
      <c r="KSA3" s="964"/>
      <c r="KSB3" s="964"/>
      <c r="KSC3" s="964"/>
      <c r="KSD3" s="964"/>
      <c r="KSE3" s="964"/>
      <c r="KSF3" s="964"/>
      <c r="KSG3" s="964"/>
      <c r="KSH3" s="964"/>
      <c r="KSI3" s="964"/>
      <c r="KSJ3" s="964"/>
      <c r="KSK3" s="964"/>
      <c r="KSL3" s="964"/>
      <c r="KSM3" s="964"/>
      <c r="KSN3" s="964"/>
      <c r="KSO3" s="964"/>
      <c r="KSP3" s="964"/>
      <c r="KSQ3" s="964"/>
      <c r="KSR3" s="964"/>
      <c r="KSS3" s="964"/>
      <c r="KST3" s="964"/>
      <c r="KSU3" s="964"/>
      <c r="KSV3" s="964"/>
      <c r="KSW3" s="964"/>
      <c r="KSX3" s="964"/>
      <c r="KSY3" s="964"/>
      <c r="KSZ3" s="964"/>
      <c r="KTA3" s="964"/>
      <c r="KTB3" s="964"/>
      <c r="KTC3" s="964"/>
      <c r="KTD3" s="964"/>
      <c r="KTE3" s="964"/>
      <c r="KTF3" s="964"/>
      <c r="KTG3" s="964"/>
      <c r="KTH3" s="964"/>
      <c r="KTI3" s="964"/>
      <c r="KTJ3" s="964"/>
      <c r="KTK3" s="964"/>
      <c r="KTL3" s="964"/>
      <c r="KTM3" s="964"/>
      <c r="KTN3" s="964"/>
      <c r="KTO3" s="964"/>
      <c r="KTP3" s="964"/>
      <c r="KTQ3" s="964"/>
      <c r="KTR3" s="964"/>
      <c r="KTS3" s="964"/>
      <c r="KTT3" s="964"/>
      <c r="KTU3" s="964"/>
      <c r="KTV3" s="964"/>
      <c r="KTW3" s="964"/>
      <c r="KTX3" s="964"/>
      <c r="KTY3" s="964"/>
      <c r="KTZ3" s="964"/>
      <c r="KUA3" s="964"/>
      <c r="KUB3" s="964"/>
      <c r="KUC3" s="964"/>
      <c r="KUD3" s="964"/>
      <c r="KUE3" s="964"/>
      <c r="KUF3" s="964"/>
      <c r="KUG3" s="964"/>
      <c r="KUH3" s="964"/>
      <c r="KUI3" s="964"/>
      <c r="KUJ3" s="964"/>
      <c r="KUK3" s="964"/>
      <c r="KUL3" s="964"/>
      <c r="KUM3" s="964"/>
      <c r="KUN3" s="964"/>
      <c r="KUO3" s="964"/>
      <c r="KUP3" s="964"/>
      <c r="KUQ3" s="964"/>
      <c r="KUR3" s="964"/>
      <c r="KUS3" s="964"/>
      <c r="KUT3" s="964"/>
      <c r="KUU3" s="964"/>
      <c r="KUV3" s="964"/>
      <c r="KUW3" s="964"/>
      <c r="KUX3" s="964"/>
      <c r="KUY3" s="964"/>
      <c r="KUZ3" s="964"/>
      <c r="KVA3" s="964"/>
      <c r="KVB3" s="964"/>
      <c r="KVC3" s="964"/>
      <c r="KVD3" s="964"/>
      <c r="KVE3" s="964"/>
      <c r="KVF3" s="964"/>
      <c r="KVG3" s="964"/>
      <c r="KVH3" s="964"/>
      <c r="KVI3" s="964"/>
      <c r="KVJ3" s="964"/>
      <c r="KVK3" s="964"/>
      <c r="KVL3" s="964"/>
      <c r="KVM3" s="964"/>
      <c r="KVN3" s="964"/>
      <c r="KVO3" s="964"/>
      <c r="KVP3" s="964"/>
      <c r="KVQ3" s="964"/>
      <c r="KVR3" s="964"/>
      <c r="KVS3" s="964"/>
      <c r="KVT3" s="964"/>
      <c r="KVU3" s="964"/>
      <c r="KVV3" s="964"/>
      <c r="KVW3" s="964"/>
      <c r="KVX3" s="964"/>
      <c r="KVY3" s="964"/>
      <c r="KVZ3" s="964"/>
      <c r="KWA3" s="964"/>
      <c r="KWB3" s="964"/>
      <c r="KWC3" s="964"/>
      <c r="KWD3" s="964"/>
      <c r="KWE3" s="964"/>
      <c r="KWF3" s="964"/>
      <c r="KWG3" s="964"/>
      <c r="KWH3" s="964"/>
      <c r="KWI3" s="964"/>
      <c r="KWJ3" s="964"/>
      <c r="KWK3" s="964"/>
      <c r="KWL3" s="964"/>
      <c r="KWM3" s="964"/>
      <c r="KWN3" s="964"/>
      <c r="KWO3" s="964"/>
      <c r="KWP3" s="964"/>
      <c r="KWQ3" s="964"/>
      <c r="KWR3" s="964"/>
      <c r="KWS3" s="964"/>
      <c r="KWT3" s="964"/>
      <c r="KWU3" s="964"/>
      <c r="KWV3" s="964"/>
      <c r="KWW3" s="964"/>
      <c r="KWX3" s="964"/>
      <c r="KWY3" s="964"/>
      <c r="KWZ3" s="964"/>
      <c r="KXA3" s="964"/>
      <c r="KXB3" s="964"/>
      <c r="KXC3" s="964"/>
      <c r="KXD3" s="964"/>
      <c r="KXE3" s="964"/>
      <c r="KXF3" s="964"/>
      <c r="KXG3" s="964"/>
      <c r="KXH3" s="964"/>
      <c r="KXI3" s="964"/>
      <c r="KXJ3" s="964"/>
      <c r="KXK3" s="964"/>
      <c r="KXL3" s="964"/>
      <c r="KXM3" s="964"/>
      <c r="KXN3" s="964"/>
      <c r="KXO3" s="964"/>
      <c r="KXP3" s="964"/>
      <c r="KXQ3" s="964"/>
      <c r="KXR3" s="964"/>
      <c r="KXS3" s="964"/>
      <c r="KXT3" s="964"/>
      <c r="KXU3" s="964"/>
      <c r="KXV3" s="964"/>
      <c r="KXW3" s="964"/>
      <c r="KXX3" s="964"/>
      <c r="KXY3" s="964"/>
      <c r="KXZ3" s="964"/>
      <c r="KYA3" s="964"/>
      <c r="KYB3" s="964"/>
      <c r="KYC3" s="964"/>
      <c r="KYD3" s="964"/>
      <c r="KYE3" s="964"/>
      <c r="KYF3" s="964"/>
      <c r="KYG3" s="964"/>
      <c r="KYH3" s="964"/>
      <c r="KYI3" s="964"/>
      <c r="KYJ3" s="964"/>
      <c r="KYK3" s="964"/>
      <c r="KYL3" s="964"/>
      <c r="KYM3" s="964"/>
      <c r="KYN3" s="964"/>
      <c r="KYO3" s="964"/>
      <c r="KYP3" s="964"/>
      <c r="KYQ3" s="964"/>
      <c r="KYR3" s="964"/>
      <c r="KYS3" s="964"/>
      <c r="KYT3" s="964"/>
      <c r="KYU3" s="964"/>
      <c r="KYV3" s="964"/>
      <c r="KYW3" s="964"/>
      <c r="KYX3" s="964"/>
      <c r="KYY3" s="964"/>
      <c r="KYZ3" s="964"/>
      <c r="KZA3" s="964"/>
      <c r="KZB3" s="964"/>
      <c r="KZC3" s="964"/>
      <c r="KZD3" s="964"/>
      <c r="KZE3" s="964"/>
      <c r="KZF3" s="964"/>
      <c r="KZG3" s="964"/>
      <c r="KZH3" s="964"/>
      <c r="KZI3" s="964"/>
      <c r="KZJ3" s="964"/>
      <c r="KZK3" s="964"/>
      <c r="KZL3" s="964"/>
      <c r="KZM3" s="964"/>
      <c r="KZN3" s="964"/>
      <c r="KZO3" s="964"/>
      <c r="KZP3" s="964"/>
      <c r="KZQ3" s="964"/>
      <c r="KZR3" s="964"/>
      <c r="KZS3" s="964"/>
      <c r="KZT3" s="964"/>
      <c r="KZU3" s="964"/>
      <c r="KZV3" s="964"/>
      <c r="KZW3" s="964"/>
      <c r="KZX3" s="964"/>
      <c r="KZY3" s="964"/>
      <c r="KZZ3" s="964"/>
      <c r="LAA3" s="964"/>
      <c r="LAB3" s="964"/>
      <c r="LAC3" s="964"/>
      <c r="LAD3" s="964"/>
      <c r="LAE3" s="964"/>
      <c r="LAF3" s="964"/>
      <c r="LAG3" s="964"/>
      <c r="LAH3" s="964"/>
      <c r="LAI3" s="964"/>
      <c r="LAJ3" s="964"/>
      <c r="LAK3" s="964"/>
      <c r="LAL3" s="964"/>
      <c r="LAM3" s="964"/>
      <c r="LAN3" s="964"/>
      <c r="LAO3" s="964"/>
      <c r="LAP3" s="964"/>
      <c r="LAQ3" s="964"/>
      <c r="LAR3" s="964"/>
      <c r="LAS3" s="964"/>
      <c r="LAT3" s="964"/>
      <c r="LAU3" s="964"/>
      <c r="LAV3" s="964"/>
      <c r="LAW3" s="964"/>
      <c r="LAX3" s="964"/>
      <c r="LAY3" s="964"/>
      <c r="LAZ3" s="964"/>
      <c r="LBA3" s="964"/>
      <c r="LBB3" s="964"/>
      <c r="LBC3" s="964"/>
      <c r="LBD3" s="964"/>
      <c r="LBE3" s="964"/>
      <c r="LBF3" s="964"/>
      <c r="LBG3" s="964"/>
      <c r="LBH3" s="964"/>
      <c r="LBI3" s="964"/>
      <c r="LBJ3" s="964"/>
      <c r="LBK3" s="964"/>
      <c r="LBL3" s="964"/>
      <c r="LBM3" s="964"/>
      <c r="LBN3" s="964"/>
      <c r="LBO3" s="964"/>
      <c r="LBP3" s="964"/>
      <c r="LBQ3" s="964"/>
      <c r="LBR3" s="964"/>
      <c r="LBS3" s="964"/>
      <c r="LBT3" s="964"/>
      <c r="LBU3" s="964"/>
      <c r="LBV3" s="964"/>
      <c r="LBW3" s="964"/>
      <c r="LBX3" s="964"/>
      <c r="LBY3" s="964"/>
      <c r="LBZ3" s="964"/>
      <c r="LCA3" s="964"/>
      <c r="LCB3" s="964"/>
      <c r="LCC3" s="964"/>
      <c r="LCD3" s="964"/>
      <c r="LCE3" s="964"/>
      <c r="LCF3" s="964"/>
      <c r="LCG3" s="964"/>
      <c r="LCH3" s="964"/>
      <c r="LCI3" s="964"/>
      <c r="LCJ3" s="964"/>
      <c r="LCK3" s="964"/>
      <c r="LCL3" s="964"/>
      <c r="LCM3" s="964"/>
      <c r="LCN3" s="964"/>
      <c r="LCO3" s="964"/>
      <c r="LCP3" s="964"/>
      <c r="LCQ3" s="964"/>
      <c r="LCR3" s="964"/>
      <c r="LCS3" s="964"/>
      <c r="LCT3" s="964"/>
      <c r="LCU3" s="964"/>
      <c r="LCV3" s="964"/>
      <c r="LCW3" s="964"/>
      <c r="LCX3" s="964"/>
      <c r="LCY3" s="964"/>
      <c r="LCZ3" s="964"/>
      <c r="LDA3" s="964"/>
      <c r="LDB3" s="964"/>
      <c r="LDC3" s="964"/>
      <c r="LDD3" s="964"/>
      <c r="LDE3" s="964"/>
      <c r="LDF3" s="964"/>
      <c r="LDG3" s="964"/>
      <c r="LDH3" s="964"/>
      <c r="LDI3" s="964"/>
      <c r="LDJ3" s="964"/>
      <c r="LDK3" s="964"/>
      <c r="LDL3" s="964"/>
      <c r="LDM3" s="964"/>
      <c r="LDN3" s="964"/>
      <c r="LDO3" s="964"/>
      <c r="LDP3" s="964"/>
      <c r="LDQ3" s="964"/>
      <c r="LDR3" s="964"/>
      <c r="LDS3" s="964"/>
      <c r="LDT3" s="964"/>
      <c r="LDU3" s="964"/>
      <c r="LDV3" s="964"/>
      <c r="LDW3" s="964"/>
      <c r="LDX3" s="964"/>
      <c r="LDY3" s="964"/>
      <c r="LDZ3" s="964"/>
      <c r="LEA3" s="964"/>
      <c r="LEB3" s="964"/>
      <c r="LEC3" s="964"/>
      <c r="LED3" s="964"/>
      <c r="LEE3" s="964"/>
      <c r="LEF3" s="964"/>
      <c r="LEG3" s="964"/>
      <c r="LEH3" s="964"/>
      <c r="LEI3" s="964"/>
      <c r="LEJ3" s="964"/>
      <c r="LEK3" s="964"/>
      <c r="LEL3" s="964"/>
      <c r="LEM3" s="964"/>
      <c r="LEN3" s="964"/>
      <c r="LEO3" s="964"/>
      <c r="LEP3" s="964"/>
      <c r="LEQ3" s="964"/>
      <c r="LER3" s="964"/>
      <c r="LES3" s="964"/>
      <c r="LET3" s="964"/>
      <c r="LEU3" s="964"/>
      <c r="LEV3" s="964"/>
      <c r="LEW3" s="964"/>
      <c r="LEX3" s="964"/>
      <c r="LEY3" s="964"/>
      <c r="LEZ3" s="964"/>
      <c r="LFA3" s="964"/>
      <c r="LFB3" s="964"/>
      <c r="LFC3" s="964"/>
      <c r="LFD3" s="964"/>
      <c r="LFE3" s="964"/>
      <c r="LFF3" s="964"/>
      <c r="LFG3" s="964"/>
      <c r="LFH3" s="964"/>
      <c r="LFI3" s="964"/>
      <c r="LFJ3" s="964"/>
      <c r="LFK3" s="964"/>
      <c r="LFL3" s="964"/>
      <c r="LFM3" s="964"/>
      <c r="LFN3" s="964"/>
      <c r="LFO3" s="964"/>
      <c r="LFP3" s="964"/>
      <c r="LFQ3" s="964"/>
      <c r="LFR3" s="964"/>
      <c r="LFS3" s="964"/>
      <c r="LFT3" s="964"/>
      <c r="LFU3" s="964"/>
      <c r="LFV3" s="964"/>
      <c r="LFW3" s="964"/>
      <c r="LFX3" s="964"/>
      <c r="LFY3" s="964"/>
      <c r="LFZ3" s="964"/>
      <c r="LGA3" s="964"/>
      <c r="LGB3" s="964"/>
      <c r="LGC3" s="964"/>
      <c r="LGD3" s="964"/>
      <c r="LGE3" s="964"/>
      <c r="LGF3" s="964"/>
      <c r="LGG3" s="964"/>
      <c r="LGH3" s="964"/>
      <c r="LGI3" s="964"/>
      <c r="LGJ3" s="964"/>
      <c r="LGK3" s="964"/>
      <c r="LGL3" s="964"/>
      <c r="LGM3" s="964"/>
      <c r="LGN3" s="964"/>
      <c r="LGO3" s="964"/>
      <c r="LGP3" s="964"/>
      <c r="LGQ3" s="964"/>
      <c r="LGR3" s="964"/>
      <c r="LGS3" s="964"/>
      <c r="LGT3" s="964"/>
      <c r="LGU3" s="964"/>
      <c r="LGV3" s="964"/>
      <c r="LGW3" s="964"/>
      <c r="LGX3" s="964"/>
      <c r="LGY3" s="964"/>
      <c r="LGZ3" s="964"/>
      <c r="LHA3" s="964"/>
      <c r="LHB3" s="964"/>
      <c r="LHC3" s="964"/>
      <c r="LHD3" s="964"/>
      <c r="LHE3" s="964"/>
      <c r="LHF3" s="964"/>
      <c r="LHG3" s="964"/>
      <c r="LHH3" s="964"/>
      <c r="LHI3" s="964"/>
      <c r="LHJ3" s="964"/>
      <c r="LHK3" s="964"/>
      <c r="LHL3" s="964"/>
      <c r="LHM3" s="964"/>
      <c r="LHN3" s="964"/>
      <c r="LHO3" s="964"/>
      <c r="LHP3" s="964"/>
      <c r="LHQ3" s="964"/>
      <c r="LHR3" s="964"/>
      <c r="LHS3" s="964"/>
      <c r="LHT3" s="964"/>
      <c r="LHU3" s="964"/>
      <c r="LHV3" s="964"/>
      <c r="LHW3" s="964"/>
      <c r="LHX3" s="964"/>
      <c r="LHY3" s="964"/>
      <c r="LHZ3" s="964"/>
      <c r="LIA3" s="964"/>
      <c r="LIB3" s="964"/>
      <c r="LIC3" s="964"/>
      <c r="LID3" s="964"/>
      <c r="LIE3" s="964"/>
      <c r="LIF3" s="964"/>
      <c r="LIG3" s="964"/>
      <c r="LIH3" s="964"/>
      <c r="LII3" s="964"/>
      <c r="LIJ3" s="964"/>
      <c r="LIK3" s="964"/>
      <c r="LIL3" s="964"/>
      <c r="LIM3" s="964"/>
      <c r="LIN3" s="964"/>
      <c r="LIO3" s="964"/>
      <c r="LIP3" s="964"/>
      <c r="LIQ3" s="964"/>
      <c r="LIR3" s="964"/>
      <c r="LIS3" s="964"/>
      <c r="LIT3" s="964"/>
      <c r="LIU3" s="964"/>
      <c r="LIV3" s="964"/>
      <c r="LIW3" s="964"/>
      <c r="LIX3" s="964"/>
      <c r="LIY3" s="964"/>
      <c r="LIZ3" s="964"/>
      <c r="LJA3" s="964"/>
      <c r="LJB3" s="964"/>
      <c r="LJC3" s="964"/>
      <c r="LJD3" s="964"/>
      <c r="LJE3" s="964"/>
      <c r="LJF3" s="964"/>
      <c r="LJG3" s="964"/>
      <c r="LJH3" s="964"/>
      <c r="LJI3" s="964"/>
      <c r="LJJ3" s="964"/>
      <c r="LJK3" s="964"/>
      <c r="LJL3" s="964"/>
      <c r="LJM3" s="964"/>
      <c r="LJN3" s="964"/>
      <c r="LJO3" s="964"/>
      <c r="LJP3" s="964"/>
      <c r="LJQ3" s="964"/>
      <c r="LJR3" s="964"/>
      <c r="LJS3" s="964"/>
      <c r="LJT3" s="964"/>
      <c r="LJU3" s="964"/>
      <c r="LJV3" s="964"/>
      <c r="LJW3" s="964"/>
      <c r="LJX3" s="964"/>
      <c r="LJY3" s="964"/>
      <c r="LJZ3" s="964"/>
      <c r="LKA3" s="964"/>
      <c r="LKB3" s="964"/>
      <c r="LKC3" s="964"/>
      <c r="LKD3" s="964"/>
      <c r="LKE3" s="964"/>
      <c r="LKF3" s="964"/>
      <c r="LKG3" s="964"/>
      <c r="LKH3" s="964"/>
      <c r="LKI3" s="964"/>
      <c r="LKJ3" s="964"/>
      <c r="LKK3" s="964"/>
      <c r="LKL3" s="964"/>
      <c r="LKM3" s="964"/>
      <c r="LKN3" s="964"/>
      <c r="LKO3" s="964"/>
      <c r="LKP3" s="964"/>
      <c r="LKQ3" s="964"/>
      <c r="LKR3" s="964"/>
      <c r="LKS3" s="964"/>
      <c r="LKT3" s="964"/>
      <c r="LKU3" s="964"/>
      <c r="LKV3" s="964"/>
      <c r="LKW3" s="964"/>
      <c r="LKX3" s="964"/>
      <c r="LKY3" s="964"/>
      <c r="LKZ3" s="964"/>
      <c r="LLA3" s="964"/>
      <c r="LLB3" s="964"/>
      <c r="LLC3" s="964"/>
      <c r="LLD3" s="964"/>
      <c r="LLE3" s="964"/>
      <c r="LLF3" s="964"/>
      <c r="LLG3" s="964"/>
      <c r="LLH3" s="964"/>
      <c r="LLI3" s="964"/>
      <c r="LLJ3" s="964"/>
      <c r="LLK3" s="964"/>
      <c r="LLL3" s="964"/>
      <c r="LLM3" s="964"/>
      <c r="LLN3" s="964"/>
      <c r="LLO3" s="964"/>
      <c r="LLP3" s="964"/>
      <c r="LLQ3" s="964"/>
      <c r="LLR3" s="964"/>
      <c r="LLS3" s="964"/>
      <c r="LLT3" s="964"/>
      <c r="LLU3" s="964"/>
      <c r="LLV3" s="964"/>
      <c r="LLW3" s="964"/>
      <c r="LLX3" s="964"/>
      <c r="LLY3" s="964"/>
      <c r="LLZ3" s="964"/>
      <c r="LMA3" s="964"/>
      <c r="LMB3" s="964"/>
      <c r="LMC3" s="964"/>
      <c r="LMD3" s="964"/>
      <c r="LME3" s="964"/>
      <c r="LMF3" s="964"/>
      <c r="LMG3" s="964"/>
      <c r="LMH3" s="964"/>
      <c r="LMI3" s="964"/>
      <c r="LMJ3" s="964"/>
      <c r="LMK3" s="964"/>
      <c r="LML3" s="964"/>
      <c r="LMM3" s="964"/>
      <c r="LMN3" s="964"/>
      <c r="LMO3" s="964"/>
      <c r="LMP3" s="964"/>
      <c r="LMQ3" s="964"/>
      <c r="LMR3" s="964"/>
      <c r="LMS3" s="964"/>
      <c r="LMT3" s="964"/>
      <c r="LMU3" s="964"/>
      <c r="LMV3" s="964"/>
      <c r="LMW3" s="964"/>
      <c r="LMX3" s="964"/>
      <c r="LMY3" s="964"/>
      <c r="LMZ3" s="964"/>
      <c r="LNA3" s="964"/>
      <c r="LNB3" s="964"/>
      <c r="LNC3" s="964"/>
      <c r="LND3" s="964"/>
      <c r="LNE3" s="964"/>
      <c r="LNF3" s="964"/>
      <c r="LNG3" s="964"/>
      <c r="LNH3" s="964"/>
      <c r="LNI3" s="964"/>
      <c r="LNJ3" s="964"/>
      <c r="LNK3" s="964"/>
      <c r="LNL3" s="964"/>
      <c r="LNM3" s="964"/>
      <c r="LNN3" s="964"/>
      <c r="LNO3" s="964"/>
      <c r="LNP3" s="964"/>
      <c r="LNQ3" s="964"/>
      <c r="LNR3" s="964"/>
      <c r="LNS3" s="964"/>
      <c r="LNT3" s="964"/>
      <c r="LNU3" s="964"/>
      <c r="LNV3" s="964"/>
      <c r="LNW3" s="964"/>
      <c r="LNX3" s="964"/>
      <c r="LNY3" s="964"/>
      <c r="LNZ3" s="964"/>
      <c r="LOA3" s="964"/>
      <c r="LOB3" s="964"/>
      <c r="LOC3" s="964"/>
      <c r="LOD3" s="964"/>
      <c r="LOE3" s="964"/>
      <c r="LOF3" s="964"/>
      <c r="LOG3" s="964"/>
      <c r="LOH3" s="964"/>
      <c r="LOI3" s="964"/>
      <c r="LOJ3" s="964"/>
      <c r="LOK3" s="964"/>
      <c r="LOL3" s="964"/>
      <c r="LOM3" s="964"/>
      <c r="LON3" s="964"/>
      <c r="LOO3" s="964"/>
      <c r="LOP3" s="964"/>
      <c r="LOQ3" s="964"/>
      <c r="LOR3" s="964"/>
      <c r="LOS3" s="964"/>
      <c r="LOT3" s="964"/>
      <c r="LOU3" s="964"/>
      <c r="LOV3" s="964"/>
      <c r="LOW3" s="964"/>
      <c r="LOX3" s="964"/>
      <c r="LOY3" s="964"/>
      <c r="LOZ3" s="964"/>
      <c r="LPA3" s="964"/>
      <c r="LPB3" s="964"/>
      <c r="LPC3" s="964"/>
      <c r="LPD3" s="964"/>
      <c r="LPE3" s="964"/>
      <c r="LPF3" s="964"/>
      <c r="LPG3" s="964"/>
      <c r="LPH3" s="964"/>
      <c r="LPI3" s="964"/>
      <c r="LPJ3" s="964"/>
      <c r="LPK3" s="964"/>
      <c r="LPL3" s="964"/>
      <c r="LPM3" s="964"/>
      <c r="LPN3" s="964"/>
      <c r="LPO3" s="964"/>
      <c r="LPP3" s="964"/>
      <c r="LPQ3" s="964"/>
      <c r="LPR3" s="964"/>
      <c r="LPS3" s="964"/>
      <c r="LPT3" s="964"/>
      <c r="LPU3" s="964"/>
      <c r="LPV3" s="964"/>
      <c r="LPW3" s="964"/>
      <c r="LPX3" s="964"/>
      <c r="LPY3" s="964"/>
      <c r="LPZ3" s="964"/>
      <c r="LQA3" s="964"/>
      <c r="LQB3" s="964"/>
      <c r="LQC3" s="964"/>
      <c r="LQD3" s="964"/>
      <c r="LQE3" s="964"/>
      <c r="LQF3" s="964"/>
      <c r="LQG3" s="964"/>
      <c r="LQH3" s="964"/>
      <c r="LQI3" s="964"/>
      <c r="LQJ3" s="964"/>
      <c r="LQK3" s="964"/>
      <c r="LQL3" s="964"/>
      <c r="LQM3" s="964"/>
      <c r="LQN3" s="964"/>
      <c r="LQO3" s="964"/>
      <c r="LQP3" s="964"/>
      <c r="LQQ3" s="964"/>
      <c r="LQR3" s="964"/>
      <c r="LQS3" s="964"/>
      <c r="LQT3" s="964"/>
      <c r="LQU3" s="964"/>
      <c r="LQV3" s="964"/>
      <c r="LQW3" s="964"/>
      <c r="LQX3" s="964"/>
      <c r="LQY3" s="964"/>
      <c r="LQZ3" s="964"/>
      <c r="LRA3" s="964"/>
      <c r="LRB3" s="964"/>
      <c r="LRC3" s="964"/>
      <c r="LRD3" s="964"/>
      <c r="LRE3" s="964"/>
      <c r="LRF3" s="964"/>
      <c r="LRG3" s="964"/>
      <c r="LRH3" s="964"/>
      <c r="LRI3" s="964"/>
      <c r="LRJ3" s="964"/>
      <c r="LRK3" s="964"/>
      <c r="LRL3" s="964"/>
      <c r="LRM3" s="964"/>
      <c r="LRN3" s="964"/>
      <c r="LRO3" s="964"/>
      <c r="LRP3" s="964"/>
      <c r="LRQ3" s="964"/>
      <c r="LRR3" s="964"/>
      <c r="LRS3" s="964"/>
      <c r="LRT3" s="964"/>
      <c r="LRU3" s="964"/>
      <c r="LRV3" s="964"/>
      <c r="LRW3" s="964"/>
      <c r="LRX3" s="964"/>
      <c r="LRY3" s="964"/>
      <c r="LRZ3" s="964"/>
      <c r="LSA3" s="964"/>
      <c r="LSB3" s="964"/>
      <c r="LSC3" s="964"/>
      <c r="LSD3" s="964"/>
      <c r="LSE3" s="964"/>
      <c r="LSF3" s="964"/>
      <c r="LSG3" s="964"/>
      <c r="LSH3" s="964"/>
      <c r="LSI3" s="964"/>
      <c r="LSJ3" s="964"/>
      <c r="LSK3" s="964"/>
      <c r="LSL3" s="964"/>
      <c r="LSM3" s="964"/>
      <c r="LSN3" s="964"/>
      <c r="LSO3" s="964"/>
      <c r="LSP3" s="964"/>
      <c r="LSQ3" s="964"/>
      <c r="LSR3" s="964"/>
      <c r="LSS3" s="964"/>
      <c r="LST3" s="964"/>
      <c r="LSU3" s="964"/>
      <c r="LSV3" s="964"/>
      <c r="LSW3" s="964"/>
      <c r="LSX3" s="964"/>
      <c r="LSY3" s="964"/>
      <c r="LSZ3" s="964"/>
      <c r="LTA3" s="964"/>
      <c r="LTB3" s="964"/>
      <c r="LTC3" s="964"/>
      <c r="LTD3" s="964"/>
      <c r="LTE3" s="964"/>
      <c r="LTF3" s="964"/>
      <c r="LTG3" s="964"/>
      <c r="LTH3" s="964"/>
      <c r="LTI3" s="964"/>
      <c r="LTJ3" s="964"/>
      <c r="LTK3" s="964"/>
      <c r="LTL3" s="964"/>
      <c r="LTM3" s="964"/>
      <c r="LTN3" s="964"/>
      <c r="LTO3" s="964"/>
      <c r="LTP3" s="964"/>
      <c r="LTQ3" s="964"/>
      <c r="LTR3" s="964"/>
      <c r="LTS3" s="964"/>
      <c r="LTT3" s="964"/>
      <c r="LTU3" s="964"/>
      <c r="LTV3" s="964"/>
      <c r="LTW3" s="964"/>
      <c r="LTX3" s="964"/>
      <c r="LTY3" s="964"/>
      <c r="LTZ3" s="964"/>
      <c r="LUA3" s="964"/>
      <c r="LUB3" s="964"/>
      <c r="LUC3" s="964"/>
      <c r="LUD3" s="964"/>
      <c r="LUE3" s="964"/>
      <c r="LUF3" s="964"/>
      <c r="LUG3" s="964"/>
      <c r="LUH3" s="964"/>
      <c r="LUI3" s="964"/>
      <c r="LUJ3" s="964"/>
      <c r="LUK3" s="964"/>
      <c r="LUL3" s="964"/>
      <c r="LUM3" s="964"/>
      <c r="LUN3" s="964"/>
      <c r="LUO3" s="964"/>
      <c r="LUP3" s="964"/>
      <c r="LUQ3" s="964"/>
      <c r="LUR3" s="964"/>
      <c r="LUS3" s="964"/>
      <c r="LUT3" s="964"/>
      <c r="LUU3" s="964"/>
      <c r="LUV3" s="964"/>
      <c r="LUW3" s="964"/>
      <c r="LUX3" s="964"/>
      <c r="LUY3" s="964"/>
      <c r="LUZ3" s="964"/>
      <c r="LVA3" s="964"/>
      <c r="LVB3" s="964"/>
      <c r="LVC3" s="964"/>
      <c r="LVD3" s="964"/>
      <c r="LVE3" s="964"/>
      <c r="LVF3" s="964"/>
      <c r="LVG3" s="964"/>
      <c r="LVH3" s="964"/>
      <c r="LVI3" s="964"/>
      <c r="LVJ3" s="964"/>
      <c r="LVK3" s="964"/>
      <c r="LVL3" s="964"/>
      <c r="LVM3" s="964"/>
      <c r="LVN3" s="964"/>
      <c r="LVO3" s="964"/>
      <c r="LVP3" s="964"/>
      <c r="LVQ3" s="964"/>
      <c r="LVR3" s="964"/>
      <c r="LVS3" s="964"/>
      <c r="LVT3" s="964"/>
      <c r="LVU3" s="964"/>
      <c r="LVV3" s="964"/>
      <c r="LVW3" s="964"/>
      <c r="LVX3" s="964"/>
      <c r="LVY3" s="964"/>
      <c r="LVZ3" s="964"/>
      <c r="LWA3" s="964"/>
      <c r="LWB3" s="964"/>
      <c r="LWC3" s="964"/>
      <c r="LWD3" s="964"/>
      <c r="LWE3" s="964"/>
      <c r="LWF3" s="964"/>
      <c r="LWG3" s="964"/>
      <c r="LWH3" s="964"/>
      <c r="LWI3" s="964"/>
      <c r="LWJ3" s="964"/>
      <c r="LWK3" s="964"/>
      <c r="LWL3" s="964"/>
      <c r="LWM3" s="964"/>
      <c r="LWN3" s="964"/>
      <c r="LWO3" s="964"/>
      <c r="LWP3" s="964"/>
      <c r="LWQ3" s="964"/>
      <c r="LWR3" s="964"/>
      <c r="LWS3" s="964"/>
      <c r="LWT3" s="964"/>
      <c r="LWU3" s="964"/>
      <c r="LWV3" s="964"/>
      <c r="LWW3" s="964"/>
      <c r="LWX3" s="964"/>
      <c r="LWY3" s="964"/>
      <c r="LWZ3" s="964"/>
      <c r="LXA3" s="964"/>
      <c r="LXB3" s="964"/>
      <c r="LXC3" s="964"/>
      <c r="LXD3" s="964"/>
      <c r="LXE3" s="964"/>
      <c r="LXF3" s="964"/>
      <c r="LXG3" s="964"/>
      <c r="LXH3" s="964"/>
      <c r="LXI3" s="964"/>
      <c r="LXJ3" s="964"/>
      <c r="LXK3" s="964"/>
      <c r="LXL3" s="964"/>
      <c r="LXM3" s="964"/>
      <c r="LXN3" s="964"/>
      <c r="LXO3" s="964"/>
      <c r="LXP3" s="964"/>
      <c r="LXQ3" s="964"/>
      <c r="LXR3" s="964"/>
      <c r="LXS3" s="964"/>
      <c r="LXT3" s="964"/>
      <c r="LXU3" s="964"/>
      <c r="LXV3" s="964"/>
      <c r="LXW3" s="964"/>
      <c r="LXX3" s="964"/>
      <c r="LXY3" s="964"/>
      <c r="LXZ3" s="964"/>
      <c r="LYA3" s="964"/>
      <c r="LYB3" s="964"/>
      <c r="LYC3" s="964"/>
      <c r="LYD3" s="964"/>
      <c r="LYE3" s="964"/>
      <c r="LYF3" s="964"/>
      <c r="LYG3" s="964"/>
      <c r="LYH3" s="964"/>
      <c r="LYI3" s="964"/>
      <c r="LYJ3" s="964"/>
      <c r="LYK3" s="964"/>
      <c r="LYL3" s="964"/>
      <c r="LYM3" s="964"/>
      <c r="LYN3" s="964"/>
      <c r="LYO3" s="964"/>
      <c r="LYP3" s="964"/>
      <c r="LYQ3" s="964"/>
      <c r="LYR3" s="964"/>
      <c r="LYS3" s="964"/>
      <c r="LYT3" s="964"/>
      <c r="LYU3" s="964"/>
      <c r="LYV3" s="964"/>
      <c r="LYW3" s="964"/>
      <c r="LYX3" s="964"/>
      <c r="LYY3" s="964"/>
      <c r="LYZ3" s="964"/>
      <c r="LZA3" s="964"/>
      <c r="LZB3" s="964"/>
      <c r="LZC3" s="964"/>
      <c r="LZD3" s="964"/>
      <c r="LZE3" s="964"/>
      <c r="LZF3" s="964"/>
      <c r="LZG3" s="964"/>
      <c r="LZH3" s="964"/>
      <c r="LZI3" s="964"/>
      <c r="LZJ3" s="964"/>
      <c r="LZK3" s="964"/>
      <c r="LZL3" s="964"/>
      <c r="LZM3" s="964"/>
      <c r="LZN3" s="964"/>
      <c r="LZO3" s="964"/>
      <c r="LZP3" s="964"/>
      <c r="LZQ3" s="964"/>
      <c r="LZR3" s="964"/>
      <c r="LZS3" s="964"/>
      <c r="LZT3" s="964"/>
      <c r="LZU3" s="964"/>
      <c r="LZV3" s="964"/>
      <c r="LZW3" s="964"/>
      <c r="LZX3" s="964"/>
      <c r="LZY3" s="964"/>
      <c r="LZZ3" s="964"/>
      <c r="MAA3" s="964"/>
      <c r="MAB3" s="964"/>
      <c r="MAC3" s="964"/>
      <c r="MAD3" s="964"/>
      <c r="MAE3" s="964"/>
      <c r="MAF3" s="964"/>
      <c r="MAG3" s="964"/>
      <c r="MAH3" s="964"/>
      <c r="MAI3" s="964"/>
      <c r="MAJ3" s="964"/>
      <c r="MAK3" s="964"/>
      <c r="MAL3" s="964"/>
      <c r="MAM3" s="964"/>
      <c r="MAN3" s="964"/>
      <c r="MAO3" s="964"/>
      <c r="MAP3" s="964"/>
      <c r="MAQ3" s="964"/>
      <c r="MAR3" s="964"/>
      <c r="MAS3" s="964"/>
      <c r="MAT3" s="964"/>
      <c r="MAU3" s="964"/>
      <c r="MAV3" s="964"/>
      <c r="MAW3" s="964"/>
      <c r="MAX3" s="964"/>
      <c r="MAY3" s="964"/>
      <c r="MAZ3" s="964"/>
      <c r="MBA3" s="964"/>
      <c r="MBB3" s="964"/>
      <c r="MBC3" s="964"/>
      <c r="MBD3" s="964"/>
      <c r="MBE3" s="964"/>
      <c r="MBF3" s="964"/>
      <c r="MBG3" s="964"/>
      <c r="MBH3" s="964"/>
      <c r="MBI3" s="964"/>
      <c r="MBJ3" s="964"/>
      <c r="MBK3" s="964"/>
      <c r="MBL3" s="964"/>
      <c r="MBM3" s="964"/>
      <c r="MBN3" s="964"/>
      <c r="MBO3" s="964"/>
      <c r="MBP3" s="964"/>
      <c r="MBQ3" s="964"/>
      <c r="MBR3" s="964"/>
      <c r="MBS3" s="964"/>
      <c r="MBT3" s="964"/>
      <c r="MBU3" s="964"/>
      <c r="MBV3" s="964"/>
      <c r="MBW3" s="964"/>
      <c r="MBX3" s="964"/>
      <c r="MBY3" s="964"/>
      <c r="MBZ3" s="964"/>
      <c r="MCA3" s="964"/>
      <c r="MCB3" s="964"/>
      <c r="MCC3" s="964"/>
      <c r="MCD3" s="964"/>
      <c r="MCE3" s="964"/>
      <c r="MCF3" s="964"/>
      <c r="MCG3" s="964"/>
      <c r="MCH3" s="964"/>
      <c r="MCI3" s="964"/>
      <c r="MCJ3" s="964"/>
      <c r="MCK3" s="964"/>
      <c r="MCL3" s="964"/>
      <c r="MCM3" s="964"/>
      <c r="MCN3" s="964"/>
      <c r="MCO3" s="964"/>
      <c r="MCP3" s="964"/>
      <c r="MCQ3" s="964"/>
      <c r="MCR3" s="964"/>
      <c r="MCS3" s="964"/>
      <c r="MCT3" s="964"/>
      <c r="MCU3" s="964"/>
      <c r="MCV3" s="964"/>
      <c r="MCW3" s="964"/>
      <c r="MCX3" s="964"/>
      <c r="MCY3" s="964"/>
      <c r="MCZ3" s="964"/>
      <c r="MDA3" s="964"/>
      <c r="MDB3" s="964"/>
      <c r="MDC3" s="964"/>
      <c r="MDD3" s="964"/>
      <c r="MDE3" s="964"/>
      <c r="MDF3" s="964"/>
      <c r="MDG3" s="964"/>
      <c r="MDH3" s="964"/>
      <c r="MDI3" s="964"/>
      <c r="MDJ3" s="964"/>
      <c r="MDK3" s="964"/>
      <c r="MDL3" s="964"/>
      <c r="MDM3" s="964"/>
      <c r="MDN3" s="964"/>
      <c r="MDO3" s="964"/>
      <c r="MDP3" s="964"/>
      <c r="MDQ3" s="964"/>
      <c r="MDR3" s="964"/>
      <c r="MDS3" s="964"/>
      <c r="MDT3" s="964"/>
      <c r="MDU3" s="964"/>
      <c r="MDV3" s="964"/>
      <c r="MDW3" s="964"/>
      <c r="MDX3" s="964"/>
      <c r="MDY3" s="964"/>
      <c r="MDZ3" s="964"/>
      <c r="MEA3" s="964"/>
      <c r="MEB3" s="964"/>
      <c r="MEC3" s="964"/>
      <c r="MED3" s="964"/>
      <c r="MEE3" s="964"/>
      <c r="MEF3" s="964"/>
      <c r="MEG3" s="964"/>
      <c r="MEH3" s="964"/>
      <c r="MEI3" s="964"/>
      <c r="MEJ3" s="964"/>
      <c r="MEK3" s="964"/>
      <c r="MEL3" s="964"/>
      <c r="MEM3" s="964"/>
      <c r="MEN3" s="964"/>
      <c r="MEO3" s="964"/>
      <c r="MEP3" s="964"/>
      <c r="MEQ3" s="964"/>
      <c r="MER3" s="964"/>
      <c r="MES3" s="964"/>
      <c r="MET3" s="964"/>
      <c r="MEU3" s="964"/>
      <c r="MEV3" s="964"/>
      <c r="MEW3" s="964"/>
      <c r="MEX3" s="964"/>
      <c r="MEY3" s="964"/>
      <c r="MEZ3" s="964"/>
      <c r="MFA3" s="964"/>
      <c r="MFB3" s="964"/>
      <c r="MFC3" s="964"/>
      <c r="MFD3" s="964"/>
      <c r="MFE3" s="964"/>
      <c r="MFF3" s="964"/>
      <c r="MFG3" s="964"/>
      <c r="MFH3" s="964"/>
      <c r="MFI3" s="964"/>
      <c r="MFJ3" s="964"/>
      <c r="MFK3" s="964"/>
      <c r="MFL3" s="964"/>
      <c r="MFM3" s="964"/>
      <c r="MFN3" s="964"/>
      <c r="MFO3" s="964"/>
      <c r="MFP3" s="964"/>
      <c r="MFQ3" s="964"/>
      <c r="MFR3" s="964"/>
      <c r="MFS3" s="964"/>
      <c r="MFT3" s="964"/>
      <c r="MFU3" s="964"/>
      <c r="MFV3" s="964"/>
      <c r="MFW3" s="964"/>
      <c r="MFX3" s="964"/>
      <c r="MFY3" s="964"/>
      <c r="MFZ3" s="964"/>
      <c r="MGA3" s="964"/>
      <c r="MGB3" s="964"/>
      <c r="MGC3" s="964"/>
      <c r="MGD3" s="964"/>
      <c r="MGE3" s="964"/>
      <c r="MGF3" s="964"/>
      <c r="MGG3" s="964"/>
      <c r="MGH3" s="964"/>
      <c r="MGI3" s="964"/>
      <c r="MGJ3" s="964"/>
      <c r="MGK3" s="964"/>
      <c r="MGL3" s="964"/>
      <c r="MGM3" s="964"/>
      <c r="MGN3" s="964"/>
      <c r="MGO3" s="964"/>
      <c r="MGP3" s="964"/>
      <c r="MGQ3" s="964"/>
      <c r="MGR3" s="964"/>
      <c r="MGS3" s="964"/>
      <c r="MGT3" s="964"/>
      <c r="MGU3" s="964"/>
      <c r="MGV3" s="964"/>
      <c r="MGW3" s="964"/>
      <c r="MGX3" s="964"/>
      <c r="MGY3" s="964"/>
      <c r="MGZ3" s="964"/>
      <c r="MHA3" s="964"/>
      <c r="MHB3" s="964"/>
      <c r="MHC3" s="964"/>
      <c r="MHD3" s="964"/>
      <c r="MHE3" s="964"/>
      <c r="MHF3" s="964"/>
      <c r="MHG3" s="964"/>
      <c r="MHH3" s="964"/>
      <c r="MHI3" s="964"/>
      <c r="MHJ3" s="964"/>
      <c r="MHK3" s="964"/>
      <c r="MHL3" s="964"/>
      <c r="MHM3" s="964"/>
      <c r="MHN3" s="964"/>
      <c r="MHO3" s="964"/>
      <c r="MHP3" s="964"/>
      <c r="MHQ3" s="964"/>
      <c r="MHR3" s="964"/>
      <c r="MHS3" s="964"/>
      <c r="MHT3" s="964"/>
      <c r="MHU3" s="964"/>
      <c r="MHV3" s="964"/>
      <c r="MHW3" s="964"/>
      <c r="MHX3" s="964"/>
      <c r="MHY3" s="964"/>
      <c r="MHZ3" s="964"/>
      <c r="MIA3" s="964"/>
      <c r="MIB3" s="964"/>
      <c r="MIC3" s="964"/>
      <c r="MID3" s="964"/>
      <c r="MIE3" s="964"/>
      <c r="MIF3" s="964"/>
      <c r="MIG3" s="964"/>
      <c r="MIH3" s="964"/>
      <c r="MII3" s="964"/>
      <c r="MIJ3" s="964"/>
      <c r="MIK3" s="964"/>
      <c r="MIL3" s="964"/>
      <c r="MIM3" s="964"/>
      <c r="MIN3" s="964"/>
      <c r="MIO3" s="964"/>
      <c r="MIP3" s="964"/>
      <c r="MIQ3" s="964"/>
      <c r="MIR3" s="964"/>
      <c r="MIS3" s="964"/>
      <c r="MIT3" s="964"/>
      <c r="MIU3" s="964"/>
      <c r="MIV3" s="964"/>
      <c r="MIW3" s="964"/>
      <c r="MIX3" s="964"/>
      <c r="MIY3" s="964"/>
      <c r="MIZ3" s="964"/>
      <c r="MJA3" s="964"/>
      <c r="MJB3" s="964"/>
      <c r="MJC3" s="964"/>
      <c r="MJD3" s="964"/>
      <c r="MJE3" s="964"/>
      <c r="MJF3" s="964"/>
      <c r="MJG3" s="964"/>
      <c r="MJH3" s="964"/>
      <c r="MJI3" s="964"/>
      <c r="MJJ3" s="964"/>
      <c r="MJK3" s="964"/>
      <c r="MJL3" s="964"/>
      <c r="MJM3" s="964"/>
      <c r="MJN3" s="964"/>
      <c r="MJO3" s="964"/>
      <c r="MJP3" s="964"/>
      <c r="MJQ3" s="964"/>
      <c r="MJR3" s="964"/>
      <c r="MJS3" s="964"/>
      <c r="MJT3" s="964"/>
      <c r="MJU3" s="964"/>
      <c r="MJV3" s="964"/>
      <c r="MJW3" s="964"/>
      <c r="MJX3" s="964"/>
      <c r="MJY3" s="964"/>
      <c r="MJZ3" s="964"/>
      <c r="MKA3" s="964"/>
      <c r="MKB3" s="964"/>
      <c r="MKC3" s="964"/>
      <c r="MKD3" s="964"/>
      <c r="MKE3" s="964"/>
      <c r="MKF3" s="964"/>
      <c r="MKG3" s="964"/>
      <c r="MKH3" s="964"/>
      <c r="MKI3" s="964"/>
      <c r="MKJ3" s="964"/>
      <c r="MKK3" s="964"/>
      <c r="MKL3" s="964"/>
      <c r="MKM3" s="964"/>
      <c r="MKN3" s="964"/>
      <c r="MKO3" s="964"/>
      <c r="MKP3" s="964"/>
      <c r="MKQ3" s="964"/>
      <c r="MKR3" s="964"/>
      <c r="MKS3" s="964"/>
      <c r="MKT3" s="964"/>
      <c r="MKU3" s="964"/>
      <c r="MKV3" s="964"/>
      <c r="MKW3" s="964"/>
      <c r="MKX3" s="964"/>
      <c r="MKY3" s="964"/>
      <c r="MKZ3" s="964"/>
      <c r="MLA3" s="964"/>
      <c r="MLB3" s="964"/>
      <c r="MLC3" s="964"/>
      <c r="MLD3" s="964"/>
      <c r="MLE3" s="964"/>
      <c r="MLF3" s="964"/>
      <c r="MLG3" s="964"/>
      <c r="MLH3" s="964"/>
      <c r="MLI3" s="964"/>
      <c r="MLJ3" s="964"/>
      <c r="MLK3" s="964"/>
      <c r="MLL3" s="964"/>
      <c r="MLM3" s="964"/>
      <c r="MLN3" s="964"/>
      <c r="MLO3" s="964"/>
      <c r="MLP3" s="964"/>
      <c r="MLQ3" s="964"/>
      <c r="MLR3" s="964"/>
      <c r="MLS3" s="964"/>
      <c r="MLT3" s="964"/>
      <c r="MLU3" s="964"/>
      <c r="MLV3" s="964"/>
      <c r="MLW3" s="964"/>
      <c r="MLX3" s="964"/>
      <c r="MLY3" s="964"/>
      <c r="MLZ3" s="964"/>
      <c r="MMA3" s="964"/>
      <c r="MMB3" s="964"/>
      <c r="MMC3" s="964"/>
      <c r="MMD3" s="964"/>
      <c r="MME3" s="964"/>
      <c r="MMF3" s="964"/>
      <c r="MMG3" s="964"/>
      <c r="MMH3" s="964"/>
      <c r="MMI3" s="964"/>
      <c r="MMJ3" s="964"/>
      <c r="MMK3" s="964"/>
      <c r="MML3" s="964"/>
      <c r="MMM3" s="964"/>
      <c r="MMN3" s="964"/>
      <c r="MMO3" s="964"/>
      <c r="MMP3" s="964"/>
      <c r="MMQ3" s="964"/>
      <c r="MMR3" s="964"/>
      <c r="MMS3" s="964"/>
      <c r="MMT3" s="964"/>
      <c r="MMU3" s="964"/>
      <c r="MMV3" s="964"/>
      <c r="MMW3" s="964"/>
      <c r="MMX3" s="964"/>
      <c r="MMY3" s="964"/>
      <c r="MMZ3" s="964"/>
      <c r="MNA3" s="964"/>
      <c r="MNB3" s="964"/>
      <c r="MNC3" s="964"/>
      <c r="MND3" s="964"/>
      <c r="MNE3" s="964"/>
      <c r="MNF3" s="964"/>
      <c r="MNG3" s="964"/>
      <c r="MNH3" s="964"/>
      <c r="MNI3" s="964"/>
      <c r="MNJ3" s="964"/>
      <c r="MNK3" s="964"/>
      <c r="MNL3" s="964"/>
      <c r="MNM3" s="964"/>
      <c r="MNN3" s="964"/>
      <c r="MNO3" s="964"/>
      <c r="MNP3" s="964"/>
      <c r="MNQ3" s="964"/>
      <c r="MNR3" s="964"/>
      <c r="MNS3" s="964"/>
      <c r="MNT3" s="964"/>
      <c r="MNU3" s="964"/>
      <c r="MNV3" s="964"/>
      <c r="MNW3" s="964"/>
      <c r="MNX3" s="964"/>
      <c r="MNY3" s="964"/>
      <c r="MNZ3" s="964"/>
      <c r="MOA3" s="964"/>
      <c r="MOB3" s="964"/>
      <c r="MOC3" s="964"/>
      <c r="MOD3" s="964"/>
      <c r="MOE3" s="964"/>
      <c r="MOF3" s="964"/>
      <c r="MOG3" s="964"/>
      <c r="MOH3" s="964"/>
      <c r="MOI3" s="964"/>
      <c r="MOJ3" s="964"/>
      <c r="MOK3" s="964"/>
      <c r="MOL3" s="964"/>
      <c r="MOM3" s="964"/>
      <c r="MON3" s="964"/>
      <c r="MOO3" s="964"/>
      <c r="MOP3" s="964"/>
      <c r="MOQ3" s="964"/>
      <c r="MOR3" s="964"/>
      <c r="MOS3" s="964"/>
      <c r="MOT3" s="964"/>
      <c r="MOU3" s="964"/>
      <c r="MOV3" s="964"/>
      <c r="MOW3" s="964"/>
      <c r="MOX3" s="964"/>
      <c r="MOY3" s="964"/>
      <c r="MOZ3" s="964"/>
      <c r="MPA3" s="964"/>
      <c r="MPB3" s="964"/>
      <c r="MPC3" s="964"/>
      <c r="MPD3" s="964"/>
      <c r="MPE3" s="964"/>
      <c r="MPF3" s="964"/>
      <c r="MPG3" s="964"/>
      <c r="MPH3" s="964"/>
      <c r="MPI3" s="964"/>
      <c r="MPJ3" s="964"/>
      <c r="MPK3" s="964"/>
      <c r="MPL3" s="964"/>
      <c r="MPM3" s="964"/>
      <c r="MPN3" s="964"/>
      <c r="MPO3" s="964"/>
      <c r="MPP3" s="964"/>
      <c r="MPQ3" s="964"/>
      <c r="MPR3" s="964"/>
      <c r="MPS3" s="964"/>
      <c r="MPT3" s="964"/>
      <c r="MPU3" s="964"/>
      <c r="MPV3" s="964"/>
      <c r="MPW3" s="964"/>
      <c r="MPX3" s="964"/>
      <c r="MPY3" s="964"/>
      <c r="MPZ3" s="964"/>
      <c r="MQA3" s="964"/>
      <c r="MQB3" s="964"/>
      <c r="MQC3" s="964"/>
      <c r="MQD3" s="964"/>
      <c r="MQE3" s="964"/>
      <c r="MQF3" s="964"/>
      <c r="MQG3" s="964"/>
      <c r="MQH3" s="964"/>
      <c r="MQI3" s="964"/>
      <c r="MQJ3" s="964"/>
      <c r="MQK3" s="964"/>
      <c r="MQL3" s="964"/>
      <c r="MQM3" s="964"/>
      <c r="MQN3" s="964"/>
      <c r="MQO3" s="964"/>
      <c r="MQP3" s="964"/>
      <c r="MQQ3" s="964"/>
      <c r="MQR3" s="964"/>
      <c r="MQS3" s="964"/>
      <c r="MQT3" s="964"/>
      <c r="MQU3" s="964"/>
      <c r="MQV3" s="964"/>
      <c r="MQW3" s="964"/>
      <c r="MQX3" s="964"/>
      <c r="MQY3" s="964"/>
      <c r="MQZ3" s="964"/>
      <c r="MRA3" s="964"/>
      <c r="MRB3" s="964"/>
      <c r="MRC3" s="964"/>
      <c r="MRD3" s="964"/>
      <c r="MRE3" s="964"/>
      <c r="MRF3" s="964"/>
      <c r="MRG3" s="964"/>
      <c r="MRH3" s="964"/>
      <c r="MRI3" s="964"/>
      <c r="MRJ3" s="964"/>
      <c r="MRK3" s="964"/>
      <c r="MRL3" s="964"/>
      <c r="MRM3" s="964"/>
      <c r="MRN3" s="964"/>
      <c r="MRO3" s="964"/>
      <c r="MRP3" s="964"/>
      <c r="MRQ3" s="964"/>
      <c r="MRR3" s="964"/>
      <c r="MRS3" s="964"/>
      <c r="MRT3" s="964"/>
      <c r="MRU3" s="964"/>
      <c r="MRV3" s="964"/>
      <c r="MRW3" s="964"/>
      <c r="MRX3" s="964"/>
      <c r="MRY3" s="964"/>
      <c r="MRZ3" s="964"/>
      <c r="MSA3" s="964"/>
      <c r="MSB3" s="964"/>
      <c r="MSC3" s="964"/>
      <c r="MSD3" s="964"/>
      <c r="MSE3" s="964"/>
      <c r="MSF3" s="964"/>
      <c r="MSG3" s="964"/>
      <c r="MSH3" s="964"/>
      <c r="MSI3" s="964"/>
      <c r="MSJ3" s="964"/>
      <c r="MSK3" s="964"/>
      <c r="MSL3" s="964"/>
      <c r="MSM3" s="964"/>
      <c r="MSN3" s="964"/>
      <c r="MSO3" s="964"/>
      <c r="MSP3" s="964"/>
      <c r="MSQ3" s="964"/>
      <c r="MSR3" s="964"/>
      <c r="MSS3" s="964"/>
      <c r="MST3" s="964"/>
      <c r="MSU3" s="964"/>
      <c r="MSV3" s="964"/>
      <c r="MSW3" s="964"/>
      <c r="MSX3" s="964"/>
      <c r="MSY3" s="964"/>
      <c r="MSZ3" s="964"/>
      <c r="MTA3" s="964"/>
      <c r="MTB3" s="964"/>
      <c r="MTC3" s="964"/>
      <c r="MTD3" s="964"/>
      <c r="MTE3" s="964"/>
      <c r="MTF3" s="964"/>
      <c r="MTG3" s="964"/>
      <c r="MTH3" s="964"/>
      <c r="MTI3" s="964"/>
      <c r="MTJ3" s="964"/>
      <c r="MTK3" s="964"/>
      <c r="MTL3" s="964"/>
      <c r="MTM3" s="964"/>
      <c r="MTN3" s="964"/>
      <c r="MTO3" s="964"/>
      <c r="MTP3" s="964"/>
      <c r="MTQ3" s="964"/>
      <c r="MTR3" s="964"/>
      <c r="MTS3" s="964"/>
      <c r="MTT3" s="964"/>
      <c r="MTU3" s="964"/>
      <c r="MTV3" s="964"/>
      <c r="MTW3" s="964"/>
      <c r="MTX3" s="964"/>
      <c r="MTY3" s="964"/>
      <c r="MTZ3" s="964"/>
      <c r="MUA3" s="964"/>
      <c r="MUB3" s="964"/>
      <c r="MUC3" s="964"/>
      <c r="MUD3" s="964"/>
      <c r="MUE3" s="964"/>
      <c r="MUF3" s="964"/>
      <c r="MUG3" s="964"/>
      <c r="MUH3" s="964"/>
      <c r="MUI3" s="964"/>
      <c r="MUJ3" s="964"/>
      <c r="MUK3" s="964"/>
      <c r="MUL3" s="964"/>
      <c r="MUM3" s="964"/>
      <c r="MUN3" s="964"/>
      <c r="MUO3" s="964"/>
      <c r="MUP3" s="964"/>
      <c r="MUQ3" s="964"/>
      <c r="MUR3" s="964"/>
      <c r="MUS3" s="964"/>
      <c r="MUT3" s="964"/>
      <c r="MUU3" s="964"/>
      <c r="MUV3" s="964"/>
      <c r="MUW3" s="964"/>
      <c r="MUX3" s="964"/>
      <c r="MUY3" s="964"/>
      <c r="MUZ3" s="964"/>
      <c r="MVA3" s="964"/>
      <c r="MVB3" s="964"/>
      <c r="MVC3" s="964"/>
      <c r="MVD3" s="964"/>
      <c r="MVE3" s="964"/>
      <c r="MVF3" s="964"/>
      <c r="MVG3" s="964"/>
      <c r="MVH3" s="964"/>
      <c r="MVI3" s="964"/>
      <c r="MVJ3" s="964"/>
      <c r="MVK3" s="964"/>
      <c r="MVL3" s="964"/>
      <c r="MVM3" s="964"/>
      <c r="MVN3" s="964"/>
      <c r="MVO3" s="964"/>
      <c r="MVP3" s="964"/>
      <c r="MVQ3" s="964"/>
      <c r="MVR3" s="964"/>
      <c r="MVS3" s="964"/>
      <c r="MVT3" s="964"/>
      <c r="MVU3" s="964"/>
      <c r="MVV3" s="964"/>
      <c r="MVW3" s="964"/>
      <c r="MVX3" s="964"/>
      <c r="MVY3" s="964"/>
      <c r="MVZ3" s="964"/>
      <c r="MWA3" s="964"/>
      <c r="MWB3" s="964"/>
      <c r="MWC3" s="964"/>
      <c r="MWD3" s="964"/>
      <c r="MWE3" s="964"/>
      <c r="MWF3" s="964"/>
      <c r="MWG3" s="964"/>
      <c r="MWH3" s="964"/>
      <c r="MWI3" s="964"/>
      <c r="MWJ3" s="964"/>
      <c r="MWK3" s="964"/>
      <c r="MWL3" s="964"/>
      <c r="MWM3" s="964"/>
      <c r="MWN3" s="964"/>
      <c r="MWO3" s="964"/>
      <c r="MWP3" s="964"/>
      <c r="MWQ3" s="964"/>
      <c r="MWR3" s="964"/>
      <c r="MWS3" s="964"/>
      <c r="MWT3" s="964"/>
      <c r="MWU3" s="964"/>
      <c r="MWV3" s="964"/>
      <c r="MWW3" s="964"/>
      <c r="MWX3" s="964"/>
      <c r="MWY3" s="964"/>
      <c r="MWZ3" s="964"/>
      <c r="MXA3" s="964"/>
      <c r="MXB3" s="964"/>
      <c r="MXC3" s="964"/>
      <c r="MXD3" s="964"/>
      <c r="MXE3" s="964"/>
      <c r="MXF3" s="964"/>
      <c r="MXG3" s="964"/>
      <c r="MXH3" s="964"/>
      <c r="MXI3" s="964"/>
      <c r="MXJ3" s="964"/>
      <c r="MXK3" s="964"/>
      <c r="MXL3" s="964"/>
      <c r="MXM3" s="964"/>
      <c r="MXN3" s="964"/>
      <c r="MXO3" s="964"/>
      <c r="MXP3" s="964"/>
      <c r="MXQ3" s="964"/>
      <c r="MXR3" s="964"/>
      <c r="MXS3" s="964"/>
      <c r="MXT3" s="964"/>
      <c r="MXU3" s="964"/>
      <c r="MXV3" s="964"/>
      <c r="MXW3" s="964"/>
      <c r="MXX3" s="964"/>
      <c r="MXY3" s="964"/>
      <c r="MXZ3" s="964"/>
      <c r="MYA3" s="964"/>
      <c r="MYB3" s="964"/>
      <c r="MYC3" s="964"/>
      <c r="MYD3" s="964"/>
      <c r="MYE3" s="964"/>
      <c r="MYF3" s="964"/>
      <c r="MYG3" s="964"/>
      <c r="MYH3" s="964"/>
      <c r="MYI3" s="964"/>
      <c r="MYJ3" s="964"/>
      <c r="MYK3" s="964"/>
      <c r="MYL3" s="964"/>
      <c r="MYM3" s="964"/>
      <c r="MYN3" s="964"/>
      <c r="MYO3" s="964"/>
      <c r="MYP3" s="964"/>
      <c r="MYQ3" s="964"/>
      <c r="MYR3" s="964"/>
      <c r="MYS3" s="964"/>
      <c r="MYT3" s="964"/>
      <c r="MYU3" s="964"/>
      <c r="MYV3" s="964"/>
      <c r="MYW3" s="964"/>
      <c r="MYX3" s="964"/>
      <c r="MYY3" s="964"/>
      <c r="MYZ3" s="964"/>
      <c r="MZA3" s="964"/>
      <c r="MZB3" s="964"/>
      <c r="MZC3" s="964"/>
      <c r="MZD3" s="964"/>
      <c r="MZE3" s="964"/>
      <c r="MZF3" s="964"/>
      <c r="MZG3" s="964"/>
      <c r="MZH3" s="964"/>
      <c r="MZI3" s="964"/>
      <c r="MZJ3" s="964"/>
      <c r="MZK3" s="964"/>
      <c r="MZL3" s="964"/>
      <c r="MZM3" s="964"/>
      <c r="MZN3" s="964"/>
      <c r="MZO3" s="964"/>
      <c r="MZP3" s="964"/>
      <c r="MZQ3" s="964"/>
      <c r="MZR3" s="964"/>
      <c r="MZS3" s="964"/>
      <c r="MZT3" s="964"/>
      <c r="MZU3" s="964"/>
      <c r="MZV3" s="964"/>
      <c r="MZW3" s="964"/>
      <c r="MZX3" s="964"/>
      <c r="MZY3" s="964"/>
      <c r="MZZ3" s="964"/>
      <c r="NAA3" s="964"/>
      <c r="NAB3" s="964"/>
      <c r="NAC3" s="964"/>
      <c r="NAD3" s="964"/>
      <c r="NAE3" s="964"/>
      <c r="NAF3" s="964"/>
      <c r="NAG3" s="964"/>
      <c r="NAH3" s="964"/>
      <c r="NAI3" s="964"/>
      <c r="NAJ3" s="964"/>
      <c r="NAK3" s="964"/>
      <c r="NAL3" s="964"/>
      <c r="NAM3" s="964"/>
      <c r="NAN3" s="964"/>
      <c r="NAO3" s="964"/>
      <c r="NAP3" s="964"/>
      <c r="NAQ3" s="964"/>
      <c r="NAR3" s="964"/>
      <c r="NAS3" s="964"/>
      <c r="NAT3" s="964"/>
      <c r="NAU3" s="964"/>
      <c r="NAV3" s="964"/>
      <c r="NAW3" s="964"/>
      <c r="NAX3" s="964"/>
      <c r="NAY3" s="964"/>
      <c r="NAZ3" s="964"/>
      <c r="NBA3" s="964"/>
      <c r="NBB3" s="964"/>
      <c r="NBC3" s="964"/>
      <c r="NBD3" s="964"/>
      <c r="NBE3" s="964"/>
      <c r="NBF3" s="964"/>
      <c r="NBG3" s="964"/>
      <c r="NBH3" s="964"/>
      <c r="NBI3" s="964"/>
      <c r="NBJ3" s="964"/>
      <c r="NBK3" s="964"/>
      <c r="NBL3" s="964"/>
      <c r="NBM3" s="964"/>
      <c r="NBN3" s="964"/>
      <c r="NBO3" s="964"/>
      <c r="NBP3" s="964"/>
      <c r="NBQ3" s="964"/>
      <c r="NBR3" s="964"/>
      <c r="NBS3" s="964"/>
      <c r="NBT3" s="964"/>
      <c r="NBU3" s="964"/>
      <c r="NBV3" s="964"/>
      <c r="NBW3" s="964"/>
      <c r="NBX3" s="964"/>
      <c r="NBY3" s="964"/>
      <c r="NBZ3" s="964"/>
      <c r="NCA3" s="964"/>
      <c r="NCB3" s="964"/>
      <c r="NCC3" s="964"/>
      <c r="NCD3" s="964"/>
      <c r="NCE3" s="964"/>
      <c r="NCF3" s="964"/>
      <c r="NCG3" s="964"/>
      <c r="NCH3" s="964"/>
      <c r="NCI3" s="964"/>
      <c r="NCJ3" s="964"/>
      <c r="NCK3" s="964"/>
      <c r="NCL3" s="964"/>
      <c r="NCM3" s="964"/>
      <c r="NCN3" s="964"/>
      <c r="NCO3" s="964"/>
      <c r="NCP3" s="964"/>
      <c r="NCQ3" s="964"/>
      <c r="NCR3" s="964"/>
      <c r="NCS3" s="964"/>
      <c r="NCT3" s="964"/>
      <c r="NCU3" s="964"/>
      <c r="NCV3" s="964"/>
      <c r="NCW3" s="964"/>
      <c r="NCX3" s="964"/>
      <c r="NCY3" s="964"/>
      <c r="NCZ3" s="964"/>
      <c r="NDA3" s="964"/>
      <c r="NDB3" s="964"/>
      <c r="NDC3" s="964"/>
      <c r="NDD3" s="964"/>
      <c r="NDE3" s="964"/>
      <c r="NDF3" s="964"/>
      <c r="NDG3" s="964"/>
      <c r="NDH3" s="964"/>
      <c r="NDI3" s="964"/>
      <c r="NDJ3" s="964"/>
      <c r="NDK3" s="964"/>
      <c r="NDL3" s="964"/>
      <c r="NDM3" s="964"/>
      <c r="NDN3" s="964"/>
      <c r="NDO3" s="964"/>
      <c r="NDP3" s="964"/>
      <c r="NDQ3" s="964"/>
      <c r="NDR3" s="964"/>
      <c r="NDS3" s="964"/>
      <c r="NDT3" s="964"/>
      <c r="NDU3" s="964"/>
      <c r="NDV3" s="964"/>
      <c r="NDW3" s="964"/>
      <c r="NDX3" s="964"/>
      <c r="NDY3" s="964"/>
      <c r="NDZ3" s="964"/>
      <c r="NEA3" s="964"/>
      <c r="NEB3" s="964"/>
      <c r="NEC3" s="964"/>
      <c r="NED3" s="964"/>
      <c r="NEE3" s="964"/>
      <c r="NEF3" s="964"/>
      <c r="NEG3" s="964"/>
      <c r="NEH3" s="964"/>
      <c r="NEI3" s="964"/>
      <c r="NEJ3" s="964"/>
      <c r="NEK3" s="964"/>
      <c r="NEL3" s="964"/>
      <c r="NEM3" s="964"/>
      <c r="NEN3" s="964"/>
      <c r="NEO3" s="964"/>
      <c r="NEP3" s="964"/>
      <c r="NEQ3" s="964"/>
      <c r="NER3" s="964"/>
      <c r="NES3" s="964"/>
      <c r="NET3" s="964"/>
      <c r="NEU3" s="964"/>
      <c r="NEV3" s="964"/>
      <c r="NEW3" s="964"/>
      <c r="NEX3" s="964"/>
      <c r="NEY3" s="964"/>
      <c r="NEZ3" s="964"/>
      <c r="NFA3" s="964"/>
      <c r="NFB3" s="964"/>
      <c r="NFC3" s="964"/>
      <c r="NFD3" s="964"/>
      <c r="NFE3" s="964"/>
      <c r="NFF3" s="964"/>
      <c r="NFG3" s="964"/>
      <c r="NFH3" s="964"/>
      <c r="NFI3" s="964"/>
      <c r="NFJ3" s="964"/>
      <c r="NFK3" s="964"/>
      <c r="NFL3" s="964"/>
      <c r="NFM3" s="964"/>
      <c r="NFN3" s="964"/>
      <c r="NFO3" s="964"/>
      <c r="NFP3" s="964"/>
      <c r="NFQ3" s="964"/>
      <c r="NFR3" s="964"/>
      <c r="NFS3" s="964"/>
      <c r="NFT3" s="964"/>
      <c r="NFU3" s="964"/>
      <c r="NFV3" s="964"/>
      <c r="NFW3" s="964"/>
      <c r="NFX3" s="964"/>
      <c r="NFY3" s="964"/>
      <c r="NFZ3" s="964"/>
      <c r="NGA3" s="964"/>
      <c r="NGB3" s="964"/>
      <c r="NGC3" s="964"/>
      <c r="NGD3" s="964"/>
      <c r="NGE3" s="964"/>
      <c r="NGF3" s="964"/>
      <c r="NGG3" s="964"/>
      <c r="NGH3" s="964"/>
      <c r="NGI3" s="964"/>
      <c r="NGJ3" s="964"/>
      <c r="NGK3" s="964"/>
      <c r="NGL3" s="964"/>
      <c r="NGM3" s="964"/>
      <c r="NGN3" s="964"/>
      <c r="NGO3" s="964"/>
      <c r="NGP3" s="964"/>
      <c r="NGQ3" s="964"/>
      <c r="NGR3" s="964"/>
      <c r="NGS3" s="964"/>
      <c r="NGT3" s="964"/>
      <c r="NGU3" s="964"/>
      <c r="NGV3" s="964"/>
      <c r="NGW3" s="964"/>
      <c r="NGX3" s="964"/>
      <c r="NGY3" s="964"/>
      <c r="NGZ3" s="964"/>
      <c r="NHA3" s="964"/>
      <c r="NHB3" s="964"/>
      <c r="NHC3" s="964"/>
      <c r="NHD3" s="964"/>
      <c r="NHE3" s="964"/>
      <c r="NHF3" s="964"/>
      <c r="NHG3" s="964"/>
      <c r="NHH3" s="964"/>
      <c r="NHI3" s="964"/>
      <c r="NHJ3" s="964"/>
      <c r="NHK3" s="964"/>
      <c r="NHL3" s="964"/>
      <c r="NHM3" s="964"/>
      <c r="NHN3" s="964"/>
      <c r="NHO3" s="964"/>
      <c r="NHP3" s="964"/>
      <c r="NHQ3" s="964"/>
      <c r="NHR3" s="964"/>
      <c r="NHS3" s="964"/>
      <c r="NHT3" s="964"/>
      <c r="NHU3" s="964"/>
      <c r="NHV3" s="964"/>
      <c r="NHW3" s="964"/>
      <c r="NHX3" s="964"/>
      <c r="NHY3" s="964"/>
      <c r="NHZ3" s="964"/>
      <c r="NIA3" s="964"/>
      <c r="NIB3" s="964"/>
      <c r="NIC3" s="964"/>
      <c r="NID3" s="964"/>
      <c r="NIE3" s="964"/>
      <c r="NIF3" s="964"/>
      <c r="NIG3" s="964"/>
      <c r="NIH3" s="964"/>
      <c r="NII3" s="964"/>
      <c r="NIJ3" s="964"/>
      <c r="NIK3" s="964"/>
      <c r="NIL3" s="964"/>
      <c r="NIM3" s="964"/>
      <c r="NIN3" s="964"/>
      <c r="NIO3" s="964"/>
      <c r="NIP3" s="964"/>
      <c r="NIQ3" s="964"/>
      <c r="NIR3" s="964"/>
      <c r="NIS3" s="964"/>
      <c r="NIT3" s="964"/>
      <c r="NIU3" s="964"/>
      <c r="NIV3" s="964"/>
      <c r="NIW3" s="964"/>
      <c r="NIX3" s="964"/>
      <c r="NIY3" s="964"/>
      <c r="NIZ3" s="964"/>
      <c r="NJA3" s="964"/>
      <c r="NJB3" s="964"/>
      <c r="NJC3" s="964"/>
      <c r="NJD3" s="964"/>
      <c r="NJE3" s="964"/>
      <c r="NJF3" s="964"/>
      <c r="NJG3" s="964"/>
      <c r="NJH3" s="964"/>
      <c r="NJI3" s="964"/>
      <c r="NJJ3" s="964"/>
      <c r="NJK3" s="964"/>
      <c r="NJL3" s="964"/>
      <c r="NJM3" s="964"/>
      <c r="NJN3" s="964"/>
      <c r="NJO3" s="964"/>
      <c r="NJP3" s="964"/>
      <c r="NJQ3" s="964"/>
      <c r="NJR3" s="964"/>
      <c r="NJS3" s="964"/>
      <c r="NJT3" s="964"/>
      <c r="NJU3" s="964"/>
      <c r="NJV3" s="964"/>
      <c r="NJW3" s="964"/>
      <c r="NJX3" s="964"/>
      <c r="NJY3" s="964"/>
      <c r="NJZ3" s="964"/>
      <c r="NKA3" s="964"/>
      <c r="NKB3" s="964"/>
      <c r="NKC3" s="964"/>
      <c r="NKD3" s="964"/>
      <c r="NKE3" s="964"/>
      <c r="NKF3" s="964"/>
      <c r="NKG3" s="964"/>
      <c r="NKH3" s="964"/>
      <c r="NKI3" s="964"/>
      <c r="NKJ3" s="964"/>
      <c r="NKK3" s="964"/>
      <c r="NKL3" s="964"/>
      <c r="NKM3" s="964"/>
      <c r="NKN3" s="964"/>
      <c r="NKO3" s="964"/>
      <c r="NKP3" s="964"/>
      <c r="NKQ3" s="964"/>
      <c r="NKR3" s="964"/>
      <c r="NKS3" s="964"/>
      <c r="NKT3" s="964"/>
      <c r="NKU3" s="964"/>
      <c r="NKV3" s="964"/>
      <c r="NKW3" s="964"/>
      <c r="NKX3" s="964"/>
      <c r="NKY3" s="964"/>
      <c r="NKZ3" s="964"/>
      <c r="NLA3" s="964"/>
      <c r="NLB3" s="964"/>
      <c r="NLC3" s="964"/>
      <c r="NLD3" s="964"/>
      <c r="NLE3" s="964"/>
      <c r="NLF3" s="964"/>
      <c r="NLG3" s="964"/>
      <c r="NLH3" s="964"/>
      <c r="NLI3" s="964"/>
      <c r="NLJ3" s="964"/>
      <c r="NLK3" s="964"/>
      <c r="NLL3" s="964"/>
      <c r="NLM3" s="964"/>
      <c r="NLN3" s="964"/>
      <c r="NLO3" s="964"/>
      <c r="NLP3" s="964"/>
      <c r="NLQ3" s="964"/>
      <c r="NLR3" s="964"/>
      <c r="NLS3" s="964"/>
      <c r="NLT3" s="964"/>
      <c r="NLU3" s="964"/>
      <c r="NLV3" s="964"/>
      <c r="NLW3" s="964"/>
      <c r="NLX3" s="964"/>
      <c r="NLY3" s="964"/>
      <c r="NLZ3" s="964"/>
      <c r="NMA3" s="964"/>
      <c r="NMB3" s="964"/>
      <c r="NMC3" s="964"/>
      <c r="NMD3" s="964"/>
      <c r="NME3" s="964"/>
      <c r="NMF3" s="964"/>
      <c r="NMG3" s="964"/>
      <c r="NMH3" s="964"/>
      <c r="NMI3" s="964"/>
      <c r="NMJ3" s="964"/>
      <c r="NMK3" s="964"/>
      <c r="NML3" s="964"/>
      <c r="NMM3" s="964"/>
      <c r="NMN3" s="964"/>
      <c r="NMO3" s="964"/>
      <c r="NMP3" s="964"/>
      <c r="NMQ3" s="964"/>
      <c r="NMR3" s="964"/>
      <c r="NMS3" s="964"/>
      <c r="NMT3" s="964"/>
      <c r="NMU3" s="964"/>
      <c r="NMV3" s="964"/>
      <c r="NMW3" s="964"/>
      <c r="NMX3" s="964"/>
      <c r="NMY3" s="964"/>
      <c r="NMZ3" s="964"/>
      <c r="NNA3" s="964"/>
      <c r="NNB3" s="964"/>
      <c r="NNC3" s="964"/>
      <c r="NND3" s="964"/>
      <c r="NNE3" s="964"/>
      <c r="NNF3" s="964"/>
      <c r="NNG3" s="964"/>
      <c r="NNH3" s="964"/>
      <c r="NNI3" s="964"/>
      <c r="NNJ3" s="964"/>
      <c r="NNK3" s="964"/>
      <c r="NNL3" s="964"/>
      <c r="NNM3" s="964"/>
      <c r="NNN3" s="964"/>
      <c r="NNO3" s="964"/>
      <c r="NNP3" s="964"/>
      <c r="NNQ3" s="964"/>
      <c r="NNR3" s="964"/>
      <c r="NNS3" s="964"/>
      <c r="NNT3" s="964"/>
      <c r="NNU3" s="964"/>
      <c r="NNV3" s="964"/>
      <c r="NNW3" s="964"/>
      <c r="NNX3" s="964"/>
      <c r="NNY3" s="964"/>
      <c r="NNZ3" s="964"/>
      <c r="NOA3" s="964"/>
      <c r="NOB3" s="964"/>
      <c r="NOC3" s="964"/>
      <c r="NOD3" s="964"/>
      <c r="NOE3" s="964"/>
      <c r="NOF3" s="964"/>
      <c r="NOG3" s="964"/>
      <c r="NOH3" s="964"/>
      <c r="NOI3" s="964"/>
      <c r="NOJ3" s="964"/>
      <c r="NOK3" s="964"/>
      <c r="NOL3" s="964"/>
      <c r="NOM3" s="964"/>
      <c r="NON3" s="964"/>
      <c r="NOO3" s="964"/>
      <c r="NOP3" s="964"/>
      <c r="NOQ3" s="964"/>
      <c r="NOR3" s="964"/>
      <c r="NOS3" s="964"/>
      <c r="NOT3" s="964"/>
      <c r="NOU3" s="964"/>
      <c r="NOV3" s="964"/>
      <c r="NOW3" s="964"/>
      <c r="NOX3" s="964"/>
      <c r="NOY3" s="964"/>
      <c r="NOZ3" s="964"/>
      <c r="NPA3" s="964"/>
      <c r="NPB3" s="964"/>
      <c r="NPC3" s="964"/>
      <c r="NPD3" s="964"/>
      <c r="NPE3" s="964"/>
      <c r="NPF3" s="964"/>
      <c r="NPG3" s="964"/>
      <c r="NPH3" s="964"/>
      <c r="NPI3" s="964"/>
      <c r="NPJ3" s="964"/>
      <c r="NPK3" s="964"/>
      <c r="NPL3" s="964"/>
      <c r="NPM3" s="964"/>
      <c r="NPN3" s="964"/>
      <c r="NPO3" s="964"/>
      <c r="NPP3" s="964"/>
      <c r="NPQ3" s="964"/>
      <c r="NPR3" s="964"/>
      <c r="NPS3" s="964"/>
      <c r="NPT3" s="964"/>
      <c r="NPU3" s="964"/>
      <c r="NPV3" s="964"/>
      <c r="NPW3" s="964"/>
      <c r="NPX3" s="964"/>
      <c r="NPY3" s="964"/>
      <c r="NPZ3" s="964"/>
      <c r="NQA3" s="964"/>
      <c r="NQB3" s="964"/>
      <c r="NQC3" s="964"/>
      <c r="NQD3" s="964"/>
      <c r="NQE3" s="964"/>
      <c r="NQF3" s="964"/>
      <c r="NQG3" s="964"/>
      <c r="NQH3" s="964"/>
      <c r="NQI3" s="964"/>
      <c r="NQJ3" s="964"/>
      <c r="NQK3" s="964"/>
      <c r="NQL3" s="964"/>
      <c r="NQM3" s="964"/>
      <c r="NQN3" s="964"/>
      <c r="NQO3" s="964"/>
      <c r="NQP3" s="964"/>
      <c r="NQQ3" s="964"/>
      <c r="NQR3" s="964"/>
      <c r="NQS3" s="964"/>
      <c r="NQT3" s="964"/>
      <c r="NQU3" s="964"/>
      <c r="NQV3" s="964"/>
      <c r="NQW3" s="964"/>
      <c r="NQX3" s="964"/>
      <c r="NQY3" s="964"/>
      <c r="NQZ3" s="964"/>
      <c r="NRA3" s="964"/>
      <c r="NRB3" s="964"/>
      <c r="NRC3" s="964"/>
      <c r="NRD3" s="964"/>
      <c r="NRE3" s="964"/>
      <c r="NRF3" s="964"/>
      <c r="NRG3" s="964"/>
      <c r="NRH3" s="964"/>
      <c r="NRI3" s="964"/>
      <c r="NRJ3" s="964"/>
      <c r="NRK3" s="964"/>
      <c r="NRL3" s="964"/>
      <c r="NRM3" s="964"/>
      <c r="NRN3" s="964"/>
      <c r="NRO3" s="964"/>
      <c r="NRP3" s="964"/>
      <c r="NRQ3" s="964"/>
      <c r="NRR3" s="964"/>
      <c r="NRS3" s="964"/>
      <c r="NRT3" s="964"/>
      <c r="NRU3" s="964"/>
      <c r="NRV3" s="964"/>
      <c r="NRW3" s="964"/>
      <c r="NRX3" s="964"/>
      <c r="NRY3" s="964"/>
      <c r="NRZ3" s="964"/>
      <c r="NSA3" s="964"/>
      <c r="NSB3" s="964"/>
      <c r="NSC3" s="964"/>
      <c r="NSD3" s="964"/>
      <c r="NSE3" s="964"/>
      <c r="NSF3" s="964"/>
      <c r="NSG3" s="964"/>
      <c r="NSH3" s="964"/>
      <c r="NSI3" s="964"/>
      <c r="NSJ3" s="964"/>
      <c r="NSK3" s="964"/>
      <c r="NSL3" s="964"/>
      <c r="NSM3" s="964"/>
      <c r="NSN3" s="964"/>
      <c r="NSO3" s="964"/>
      <c r="NSP3" s="964"/>
      <c r="NSQ3" s="964"/>
      <c r="NSR3" s="964"/>
      <c r="NSS3" s="964"/>
      <c r="NST3" s="964"/>
      <c r="NSU3" s="964"/>
      <c r="NSV3" s="964"/>
      <c r="NSW3" s="964"/>
      <c r="NSX3" s="964"/>
      <c r="NSY3" s="964"/>
      <c r="NSZ3" s="964"/>
      <c r="NTA3" s="964"/>
      <c r="NTB3" s="964"/>
      <c r="NTC3" s="964"/>
      <c r="NTD3" s="964"/>
      <c r="NTE3" s="964"/>
      <c r="NTF3" s="964"/>
      <c r="NTG3" s="964"/>
      <c r="NTH3" s="964"/>
      <c r="NTI3" s="964"/>
      <c r="NTJ3" s="964"/>
      <c r="NTK3" s="964"/>
      <c r="NTL3" s="964"/>
      <c r="NTM3" s="964"/>
      <c r="NTN3" s="964"/>
      <c r="NTO3" s="964"/>
      <c r="NTP3" s="964"/>
      <c r="NTQ3" s="964"/>
      <c r="NTR3" s="964"/>
      <c r="NTS3" s="964"/>
      <c r="NTT3" s="964"/>
      <c r="NTU3" s="964"/>
      <c r="NTV3" s="964"/>
      <c r="NTW3" s="964"/>
      <c r="NTX3" s="964"/>
      <c r="NTY3" s="964"/>
      <c r="NTZ3" s="964"/>
      <c r="NUA3" s="964"/>
      <c r="NUB3" s="964"/>
      <c r="NUC3" s="964"/>
      <c r="NUD3" s="964"/>
      <c r="NUE3" s="964"/>
      <c r="NUF3" s="964"/>
      <c r="NUG3" s="964"/>
      <c r="NUH3" s="964"/>
      <c r="NUI3" s="964"/>
      <c r="NUJ3" s="964"/>
      <c r="NUK3" s="964"/>
      <c r="NUL3" s="964"/>
      <c r="NUM3" s="964"/>
      <c r="NUN3" s="964"/>
      <c r="NUO3" s="964"/>
      <c r="NUP3" s="964"/>
      <c r="NUQ3" s="964"/>
      <c r="NUR3" s="964"/>
      <c r="NUS3" s="964"/>
      <c r="NUT3" s="964"/>
      <c r="NUU3" s="964"/>
      <c r="NUV3" s="964"/>
      <c r="NUW3" s="964"/>
      <c r="NUX3" s="964"/>
      <c r="NUY3" s="964"/>
      <c r="NUZ3" s="964"/>
      <c r="NVA3" s="964"/>
      <c r="NVB3" s="964"/>
      <c r="NVC3" s="964"/>
      <c r="NVD3" s="964"/>
      <c r="NVE3" s="964"/>
      <c r="NVF3" s="964"/>
      <c r="NVG3" s="964"/>
      <c r="NVH3" s="964"/>
      <c r="NVI3" s="964"/>
      <c r="NVJ3" s="964"/>
      <c r="NVK3" s="964"/>
      <c r="NVL3" s="964"/>
      <c r="NVM3" s="964"/>
      <c r="NVN3" s="964"/>
      <c r="NVO3" s="964"/>
      <c r="NVP3" s="964"/>
      <c r="NVQ3" s="964"/>
      <c r="NVR3" s="964"/>
      <c r="NVS3" s="964"/>
      <c r="NVT3" s="964"/>
      <c r="NVU3" s="964"/>
      <c r="NVV3" s="964"/>
      <c r="NVW3" s="964"/>
      <c r="NVX3" s="964"/>
      <c r="NVY3" s="964"/>
      <c r="NVZ3" s="964"/>
      <c r="NWA3" s="964"/>
      <c r="NWB3" s="964"/>
      <c r="NWC3" s="964"/>
      <c r="NWD3" s="964"/>
      <c r="NWE3" s="964"/>
      <c r="NWF3" s="964"/>
      <c r="NWG3" s="964"/>
      <c r="NWH3" s="964"/>
      <c r="NWI3" s="964"/>
      <c r="NWJ3" s="964"/>
      <c r="NWK3" s="964"/>
      <c r="NWL3" s="964"/>
      <c r="NWM3" s="964"/>
      <c r="NWN3" s="964"/>
      <c r="NWO3" s="964"/>
      <c r="NWP3" s="964"/>
      <c r="NWQ3" s="964"/>
      <c r="NWR3" s="964"/>
      <c r="NWS3" s="964"/>
      <c r="NWT3" s="964"/>
      <c r="NWU3" s="964"/>
      <c r="NWV3" s="964"/>
      <c r="NWW3" s="964"/>
      <c r="NWX3" s="964"/>
      <c r="NWY3" s="964"/>
      <c r="NWZ3" s="964"/>
      <c r="NXA3" s="964"/>
      <c r="NXB3" s="964"/>
      <c r="NXC3" s="964"/>
      <c r="NXD3" s="964"/>
      <c r="NXE3" s="964"/>
      <c r="NXF3" s="964"/>
      <c r="NXG3" s="964"/>
      <c r="NXH3" s="964"/>
      <c r="NXI3" s="964"/>
      <c r="NXJ3" s="964"/>
      <c r="NXK3" s="964"/>
      <c r="NXL3" s="964"/>
      <c r="NXM3" s="964"/>
      <c r="NXN3" s="964"/>
      <c r="NXO3" s="964"/>
      <c r="NXP3" s="964"/>
      <c r="NXQ3" s="964"/>
      <c r="NXR3" s="964"/>
      <c r="NXS3" s="964"/>
      <c r="NXT3" s="964"/>
      <c r="NXU3" s="964"/>
      <c r="NXV3" s="964"/>
      <c r="NXW3" s="964"/>
      <c r="NXX3" s="964"/>
      <c r="NXY3" s="964"/>
      <c r="NXZ3" s="964"/>
      <c r="NYA3" s="964"/>
      <c r="NYB3" s="964"/>
      <c r="NYC3" s="964"/>
      <c r="NYD3" s="964"/>
      <c r="NYE3" s="964"/>
      <c r="NYF3" s="964"/>
      <c r="NYG3" s="964"/>
      <c r="NYH3" s="964"/>
      <c r="NYI3" s="964"/>
      <c r="NYJ3" s="964"/>
      <c r="NYK3" s="964"/>
      <c r="NYL3" s="964"/>
      <c r="NYM3" s="964"/>
      <c r="NYN3" s="964"/>
      <c r="NYO3" s="964"/>
      <c r="NYP3" s="964"/>
      <c r="NYQ3" s="964"/>
      <c r="NYR3" s="964"/>
      <c r="NYS3" s="964"/>
      <c r="NYT3" s="964"/>
      <c r="NYU3" s="964"/>
      <c r="NYV3" s="964"/>
      <c r="NYW3" s="964"/>
      <c r="NYX3" s="964"/>
      <c r="NYY3" s="964"/>
      <c r="NYZ3" s="964"/>
      <c r="NZA3" s="964"/>
      <c r="NZB3" s="964"/>
      <c r="NZC3" s="964"/>
      <c r="NZD3" s="964"/>
      <c r="NZE3" s="964"/>
      <c r="NZF3" s="964"/>
      <c r="NZG3" s="964"/>
      <c r="NZH3" s="964"/>
      <c r="NZI3" s="964"/>
      <c r="NZJ3" s="964"/>
      <c r="NZK3" s="964"/>
      <c r="NZL3" s="964"/>
      <c r="NZM3" s="964"/>
      <c r="NZN3" s="964"/>
      <c r="NZO3" s="964"/>
      <c r="NZP3" s="964"/>
      <c r="NZQ3" s="964"/>
      <c r="NZR3" s="964"/>
      <c r="NZS3" s="964"/>
      <c r="NZT3" s="964"/>
      <c r="NZU3" s="964"/>
      <c r="NZV3" s="964"/>
      <c r="NZW3" s="964"/>
      <c r="NZX3" s="964"/>
      <c r="NZY3" s="964"/>
      <c r="NZZ3" s="964"/>
      <c r="OAA3" s="964"/>
      <c r="OAB3" s="964"/>
      <c r="OAC3" s="964"/>
      <c r="OAD3" s="964"/>
      <c r="OAE3" s="964"/>
      <c r="OAF3" s="964"/>
      <c r="OAG3" s="964"/>
      <c r="OAH3" s="964"/>
      <c r="OAI3" s="964"/>
      <c r="OAJ3" s="964"/>
      <c r="OAK3" s="964"/>
      <c r="OAL3" s="964"/>
      <c r="OAM3" s="964"/>
      <c r="OAN3" s="964"/>
      <c r="OAO3" s="964"/>
      <c r="OAP3" s="964"/>
      <c r="OAQ3" s="964"/>
      <c r="OAR3" s="964"/>
      <c r="OAS3" s="964"/>
      <c r="OAT3" s="964"/>
      <c r="OAU3" s="964"/>
      <c r="OAV3" s="964"/>
      <c r="OAW3" s="964"/>
      <c r="OAX3" s="964"/>
      <c r="OAY3" s="964"/>
      <c r="OAZ3" s="964"/>
      <c r="OBA3" s="964"/>
      <c r="OBB3" s="964"/>
      <c r="OBC3" s="964"/>
      <c r="OBD3" s="964"/>
      <c r="OBE3" s="964"/>
      <c r="OBF3" s="964"/>
      <c r="OBG3" s="964"/>
      <c r="OBH3" s="964"/>
      <c r="OBI3" s="964"/>
      <c r="OBJ3" s="964"/>
      <c r="OBK3" s="964"/>
      <c r="OBL3" s="964"/>
      <c r="OBM3" s="964"/>
      <c r="OBN3" s="964"/>
      <c r="OBO3" s="964"/>
      <c r="OBP3" s="964"/>
      <c r="OBQ3" s="964"/>
      <c r="OBR3" s="964"/>
      <c r="OBS3" s="964"/>
      <c r="OBT3" s="964"/>
      <c r="OBU3" s="964"/>
      <c r="OBV3" s="964"/>
      <c r="OBW3" s="964"/>
      <c r="OBX3" s="964"/>
      <c r="OBY3" s="964"/>
      <c r="OBZ3" s="964"/>
      <c r="OCA3" s="964"/>
      <c r="OCB3" s="964"/>
      <c r="OCC3" s="964"/>
      <c r="OCD3" s="964"/>
      <c r="OCE3" s="964"/>
      <c r="OCF3" s="964"/>
      <c r="OCG3" s="964"/>
      <c r="OCH3" s="964"/>
      <c r="OCI3" s="964"/>
      <c r="OCJ3" s="964"/>
      <c r="OCK3" s="964"/>
      <c r="OCL3" s="964"/>
      <c r="OCM3" s="964"/>
      <c r="OCN3" s="964"/>
      <c r="OCO3" s="964"/>
      <c r="OCP3" s="964"/>
      <c r="OCQ3" s="964"/>
      <c r="OCR3" s="964"/>
      <c r="OCS3" s="964"/>
      <c r="OCT3" s="964"/>
      <c r="OCU3" s="964"/>
      <c r="OCV3" s="964"/>
      <c r="OCW3" s="964"/>
      <c r="OCX3" s="964"/>
      <c r="OCY3" s="964"/>
      <c r="OCZ3" s="964"/>
      <c r="ODA3" s="964"/>
      <c r="ODB3" s="964"/>
      <c r="ODC3" s="964"/>
      <c r="ODD3" s="964"/>
      <c r="ODE3" s="964"/>
      <c r="ODF3" s="964"/>
      <c r="ODG3" s="964"/>
      <c r="ODH3" s="964"/>
      <c r="ODI3" s="964"/>
      <c r="ODJ3" s="964"/>
      <c r="ODK3" s="964"/>
      <c r="ODL3" s="964"/>
      <c r="ODM3" s="964"/>
      <c r="ODN3" s="964"/>
      <c r="ODO3" s="964"/>
      <c r="ODP3" s="964"/>
      <c r="ODQ3" s="964"/>
      <c r="ODR3" s="964"/>
      <c r="ODS3" s="964"/>
      <c r="ODT3" s="964"/>
      <c r="ODU3" s="964"/>
      <c r="ODV3" s="964"/>
      <c r="ODW3" s="964"/>
      <c r="ODX3" s="964"/>
      <c r="ODY3" s="964"/>
      <c r="ODZ3" s="964"/>
      <c r="OEA3" s="964"/>
      <c r="OEB3" s="964"/>
      <c r="OEC3" s="964"/>
      <c r="OED3" s="964"/>
      <c r="OEE3" s="964"/>
      <c r="OEF3" s="964"/>
      <c r="OEG3" s="964"/>
      <c r="OEH3" s="964"/>
      <c r="OEI3" s="964"/>
      <c r="OEJ3" s="964"/>
      <c r="OEK3" s="964"/>
      <c r="OEL3" s="964"/>
      <c r="OEM3" s="964"/>
      <c r="OEN3" s="964"/>
      <c r="OEO3" s="964"/>
      <c r="OEP3" s="964"/>
      <c r="OEQ3" s="964"/>
      <c r="OER3" s="964"/>
      <c r="OES3" s="964"/>
      <c r="OET3" s="964"/>
      <c r="OEU3" s="964"/>
      <c r="OEV3" s="964"/>
      <c r="OEW3" s="964"/>
      <c r="OEX3" s="964"/>
      <c r="OEY3" s="964"/>
      <c r="OEZ3" s="964"/>
      <c r="OFA3" s="964"/>
      <c r="OFB3" s="964"/>
      <c r="OFC3" s="964"/>
      <c r="OFD3" s="964"/>
      <c r="OFE3" s="964"/>
      <c r="OFF3" s="964"/>
      <c r="OFG3" s="964"/>
      <c r="OFH3" s="964"/>
      <c r="OFI3" s="964"/>
      <c r="OFJ3" s="964"/>
      <c r="OFK3" s="964"/>
      <c r="OFL3" s="964"/>
      <c r="OFM3" s="964"/>
      <c r="OFN3" s="964"/>
      <c r="OFO3" s="964"/>
      <c r="OFP3" s="964"/>
      <c r="OFQ3" s="964"/>
      <c r="OFR3" s="964"/>
      <c r="OFS3" s="964"/>
      <c r="OFT3" s="964"/>
      <c r="OFU3" s="964"/>
      <c r="OFV3" s="964"/>
      <c r="OFW3" s="964"/>
      <c r="OFX3" s="964"/>
      <c r="OFY3" s="964"/>
      <c r="OFZ3" s="964"/>
      <c r="OGA3" s="964"/>
      <c r="OGB3" s="964"/>
      <c r="OGC3" s="964"/>
      <c r="OGD3" s="964"/>
      <c r="OGE3" s="964"/>
      <c r="OGF3" s="964"/>
      <c r="OGG3" s="964"/>
      <c r="OGH3" s="964"/>
      <c r="OGI3" s="964"/>
      <c r="OGJ3" s="964"/>
      <c r="OGK3" s="964"/>
      <c r="OGL3" s="964"/>
      <c r="OGM3" s="964"/>
      <c r="OGN3" s="964"/>
      <c r="OGO3" s="964"/>
      <c r="OGP3" s="964"/>
      <c r="OGQ3" s="964"/>
      <c r="OGR3" s="964"/>
      <c r="OGS3" s="964"/>
      <c r="OGT3" s="964"/>
      <c r="OGU3" s="964"/>
      <c r="OGV3" s="964"/>
      <c r="OGW3" s="964"/>
      <c r="OGX3" s="964"/>
      <c r="OGY3" s="964"/>
      <c r="OGZ3" s="964"/>
      <c r="OHA3" s="964"/>
      <c r="OHB3" s="964"/>
      <c r="OHC3" s="964"/>
      <c r="OHD3" s="964"/>
      <c r="OHE3" s="964"/>
      <c r="OHF3" s="964"/>
      <c r="OHG3" s="964"/>
      <c r="OHH3" s="964"/>
      <c r="OHI3" s="964"/>
      <c r="OHJ3" s="964"/>
      <c r="OHK3" s="964"/>
      <c r="OHL3" s="964"/>
      <c r="OHM3" s="964"/>
      <c r="OHN3" s="964"/>
      <c r="OHO3" s="964"/>
      <c r="OHP3" s="964"/>
      <c r="OHQ3" s="964"/>
      <c r="OHR3" s="964"/>
      <c r="OHS3" s="964"/>
      <c r="OHT3" s="964"/>
      <c r="OHU3" s="964"/>
      <c r="OHV3" s="964"/>
      <c r="OHW3" s="964"/>
      <c r="OHX3" s="964"/>
      <c r="OHY3" s="964"/>
      <c r="OHZ3" s="964"/>
      <c r="OIA3" s="964"/>
      <c r="OIB3" s="964"/>
      <c r="OIC3" s="964"/>
      <c r="OID3" s="964"/>
      <c r="OIE3" s="964"/>
      <c r="OIF3" s="964"/>
      <c r="OIG3" s="964"/>
      <c r="OIH3" s="964"/>
      <c r="OII3" s="964"/>
      <c r="OIJ3" s="964"/>
      <c r="OIK3" s="964"/>
      <c r="OIL3" s="964"/>
      <c r="OIM3" s="964"/>
      <c r="OIN3" s="964"/>
      <c r="OIO3" s="964"/>
      <c r="OIP3" s="964"/>
      <c r="OIQ3" s="964"/>
      <c r="OIR3" s="964"/>
      <c r="OIS3" s="964"/>
      <c r="OIT3" s="964"/>
      <c r="OIU3" s="964"/>
      <c r="OIV3" s="964"/>
      <c r="OIW3" s="964"/>
      <c r="OIX3" s="964"/>
      <c r="OIY3" s="964"/>
      <c r="OIZ3" s="964"/>
      <c r="OJA3" s="964"/>
      <c r="OJB3" s="964"/>
      <c r="OJC3" s="964"/>
      <c r="OJD3" s="964"/>
      <c r="OJE3" s="964"/>
      <c r="OJF3" s="964"/>
      <c r="OJG3" s="964"/>
      <c r="OJH3" s="964"/>
      <c r="OJI3" s="964"/>
      <c r="OJJ3" s="964"/>
      <c r="OJK3" s="964"/>
      <c r="OJL3" s="964"/>
      <c r="OJM3" s="964"/>
      <c r="OJN3" s="964"/>
      <c r="OJO3" s="964"/>
      <c r="OJP3" s="964"/>
      <c r="OJQ3" s="964"/>
      <c r="OJR3" s="964"/>
      <c r="OJS3" s="964"/>
      <c r="OJT3" s="964"/>
      <c r="OJU3" s="964"/>
      <c r="OJV3" s="964"/>
      <c r="OJW3" s="964"/>
      <c r="OJX3" s="964"/>
      <c r="OJY3" s="964"/>
      <c r="OJZ3" s="964"/>
      <c r="OKA3" s="964"/>
      <c r="OKB3" s="964"/>
      <c r="OKC3" s="964"/>
      <c r="OKD3" s="964"/>
      <c r="OKE3" s="964"/>
      <c r="OKF3" s="964"/>
      <c r="OKG3" s="964"/>
      <c r="OKH3" s="964"/>
      <c r="OKI3" s="964"/>
      <c r="OKJ3" s="964"/>
      <c r="OKK3" s="964"/>
      <c r="OKL3" s="964"/>
      <c r="OKM3" s="964"/>
      <c r="OKN3" s="964"/>
      <c r="OKO3" s="964"/>
      <c r="OKP3" s="964"/>
      <c r="OKQ3" s="964"/>
      <c r="OKR3" s="964"/>
      <c r="OKS3" s="964"/>
      <c r="OKT3" s="964"/>
      <c r="OKU3" s="964"/>
      <c r="OKV3" s="964"/>
      <c r="OKW3" s="964"/>
      <c r="OKX3" s="964"/>
      <c r="OKY3" s="964"/>
      <c r="OKZ3" s="964"/>
      <c r="OLA3" s="964"/>
      <c r="OLB3" s="964"/>
      <c r="OLC3" s="964"/>
      <c r="OLD3" s="964"/>
      <c r="OLE3" s="964"/>
      <c r="OLF3" s="964"/>
      <c r="OLG3" s="964"/>
      <c r="OLH3" s="964"/>
      <c r="OLI3" s="964"/>
      <c r="OLJ3" s="964"/>
      <c r="OLK3" s="964"/>
      <c r="OLL3" s="964"/>
      <c r="OLM3" s="964"/>
      <c r="OLN3" s="964"/>
      <c r="OLO3" s="964"/>
      <c r="OLP3" s="964"/>
      <c r="OLQ3" s="964"/>
      <c r="OLR3" s="964"/>
      <c r="OLS3" s="964"/>
      <c r="OLT3" s="964"/>
      <c r="OLU3" s="964"/>
      <c r="OLV3" s="964"/>
      <c r="OLW3" s="964"/>
      <c r="OLX3" s="964"/>
      <c r="OLY3" s="964"/>
      <c r="OLZ3" s="964"/>
      <c r="OMA3" s="964"/>
      <c r="OMB3" s="964"/>
      <c r="OMC3" s="964"/>
      <c r="OMD3" s="964"/>
      <c r="OME3" s="964"/>
      <c r="OMF3" s="964"/>
      <c r="OMG3" s="964"/>
      <c r="OMH3" s="964"/>
      <c r="OMI3" s="964"/>
      <c r="OMJ3" s="964"/>
      <c r="OMK3" s="964"/>
      <c r="OML3" s="964"/>
      <c r="OMM3" s="964"/>
      <c r="OMN3" s="964"/>
      <c r="OMO3" s="964"/>
      <c r="OMP3" s="964"/>
      <c r="OMQ3" s="964"/>
      <c r="OMR3" s="964"/>
      <c r="OMS3" s="964"/>
      <c r="OMT3" s="964"/>
      <c r="OMU3" s="964"/>
      <c r="OMV3" s="964"/>
      <c r="OMW3" s="964"/>
      <c r="OMX3" s="964"/>
      <c r="OMY3" s="964"/>
      <c r="OMZ3" s="964"/>
      <c r="ONA3" s="964"/>
      <c r="ONB3" s="964"/>
      <c r="ONC3" s="964"/>
      <c r="OND3" s="964"/>
      <c r="ONE3" s="964"/>
      <c r="ONF3" s="964"/>
      <c r="ONG3" s="964"/>
      <c r="ONH3" s="964"/>
      <c r="ONI3" s="964"/>
      <c r="ONJ3" s="964"/>
      <c r="ONK3" s="964"/>
      <c r="ONL3" s="964"/>
      <c r="ONM3" s="964"/>
      <c r="ONN3" s="964"/>
      <c r="ONO3" s="964"/>
      <c r="ONP3" s="964"/>
      <c r="ONQ3" s="964"/>
      <c r="ONR3" s="964"/>
      <c r="ONS3" s="964"/>
      <c r="ONT3" s="964"/>
      <c r="ONU3" s="964"/>
      <c r="ONV3" s="964"/>
      <c r="ONW3" s="964"/>
      <c r="ONX3" s="964"/>
      <c r="ONY3" s="964"/>
      <c r="ONZ3" s="964"/>
      <c r="OOA3" s="964"/>
      <c r="OOB3" s="964"/>
      <c r="OOC3" s="964"/>
      <c r="OOD3" s="964"/>
      <c r="OOE3" s="964"/>
      <c r="OOF3" s="964"/>
      <c r="OOG3" s="964"/>
      <c r="OOH3" s="964"/>
      <c r="OOI3" s="964"/>
      <c r="OOJ3" s="964"/>
      <c r="OOK3" s="964"/>
      <c r="OOL3" s="964"/>
      <c r="OOM3" s="964"/>
      <c r="OON3" s="964"/>
      <c r="OOO3" s="964"/>
      <c r="OOP3" s="964"/>
      <c r="OOQ3" s="964"/>
      <c r="OOR3" s="964"/>
      <c r="OOS3" s="964"/>
      <c r="OOT3" s="964"/>
      <c r="OOU3" s="964"/>
      <c r="OOV3" s="964"/>
      <c r="OOW3" s="964"/>
      <c r="OOX3" s="964"/>
      <c r="OOY3" s="964"/>
      <c r="OOZ3" s="964"/>
      <c r="OPA3" s="964"/>
      <c r="OPB3" s="964"/>
      <c r="OPC3" s="964"/>
      <c r="OPD3" s="964"/>
      <c r="OPE3" s="964"/>
      <c r="OPF3" s="964"/>
      <c r="OPG3" s="964"/>
      <c r="OPH3" s="964"/>
      <c r="OPI3" s="964"/>
      <c r="OPJ3" s="964"/>
      <c r="OPK3" s="964"/>
      <c r="OPL3" s="964"/>
      <c r="OPM3" s="964"/>
      <c r="OPN3" s="964"/>
      <c r="OPO3" s="964"/>
      <c r="OPP3" s="964"/>
      <c r="OPQ3" s="964"/>
      <c r="OPR3" s="964"/>
      <c r="OPS3" s="964"/>
      <c r="OPT3" s="964"/>
      <c r="OPU3" s="964"/>
      <c r="OPV3" s="964"/>
      <c r="OPW3" s="964"/>
      <c r="OPX3" s="964"/>
      <c r="OPY3" s="964"/>
      <c r="OPZ3" s="964"/>
      <c r="OQA3" s="964"/>
      <c r="OQB3" s="964"/>
      <c r="OQC3" s="964"/>
      <c r="OQD3" s="964"/>
      <c r="OQE3" s="964"/>
      <c r="OQF3" s="964"/>
      <c r="OQG3" s="964"/>
      <c r="OQH3" s="964"/>
      <c r="OQI3" s="964"/>
      <c r="OQJ3" s="964"/>
      <c r="OQK3" s="964"/>
      <c r="OQL3" s="964"/>
      <c r="OQM3" s="964"/>
      <c r="OQN3" s="964"/>
      <c r="OQO3" s="964"/>
      <c r="OQP3" s="964"/>
      <c r="OQQ3" s="964"/>
      <c r="OQR3" s="964"/>
      <c r="OQS3" s="964"/>
      <c r="OQT3" s="964"/>
      <c r="OQU3" s="964"/>
      <c r="OQV3" s="964"/>
      <c r="OQW3" s="964"/>
      <c r="OQX3" s="964"/>
      <c r="OQY3" s="964"/>
      <c r="OQZ3" s="964"/>
      <c r="ORA3" s="964"/>
      <c r="ORB3" s="964"/>
      <c r="ORC3" s="964"/>
      <c r="ORD3" s="964"/>
      <c r="ORE3" s="964"/>
      <c r="ORF3" s="964"/>
      <c r="ORG3" s="964"/>
      <c r="ORH3" s="964"/>
      <c r="ORI3" s="964"/>
      <c r="ORJ3" s="964"/>
      <c r="ORK3" s="964"/>
      <c r="ORL3" s="964"/>
      <c r="ORM3" s="964"/>
      <c r="ORN3" s="964"/>
      <c r="ORO3" s="964"/>
      <c r="ORP3" s="964"/>
      <c r="ORQ3" s="964"/>
      <c r="ORR3" s="964"/>
      <c r="ORS3" s="964"/>
      <c r="ORT3" s="964"/>
      <c r="ORU3" s="964"/>
      <c r="ORV3" s="964"/>
      <c r="ORW3" s="964"/>
      <c r="ORX3" s="964"/>
      <c r="ORY3" s="964"/>
      <c r="ORZ3" s="964"/>
      <c r="OSA3" s="964"/>
      <c r="OSB3" s="964"/>
      <c r="OSC3" s="964"/>
      <c r="OSD3" s="964"/>
      <c r="OSE3" s="964"/>
      <c r="OSF3" s="964"/>
      <c r="OSG3" s="964"/>
      <c r="OSH3" s="964"/>
      <c r="OSI3" s="964"/>
      <c r="OSJ3" s="964"/>
      <c r="OSK3" s="964"/>
      <c r="OSL3" s="964"/>
      <c r="OSM3" s="964"/>
      <c r="OSN3" s="964"/>
      <c r="OSO3" s="964"/>
      <c r="OSP3" s="964"/>
      <c r="OSQ3" s="964"/>
      <c r="OSR3" s="964"/>
      <c r="OSS3" s="964"/>
      <c r="OST3" s="964"/>
      <c r="OSU3" s="964"/>
      <c r="OSV3" s="964"/>
      <c r="OSW3" s="964"/>
      <c r="OSX3" s="964"/>
      <c r="OSY3" s="964"/>
      <c r="OSZ3" s="964"/>
      <c r="OTA3" s="964"/>
      <c r="OTB3" s="964"/>
      <c r="OTC3" s="964"/>
      <c r="OTD3" s="964"/>
      <c r="OTE3" s="964"/>
      <c r="OTF3" s="964"/>
      <c r="OTG3" s="964"/>
      <c r="OTH3" s="964"/>
      <c r="OTI3" s="964"/>
      <c r="OTJ3" s="964"/>
      <c r="OTK3" s="964"/>
      <c r="OTL3" s="964"/>
      <c r="OTM3" s="964"/>
      <c r="OTN3" s="964"/>
      <c r="OTO3" s="964"/>
      <c r="OTP3" s="964"/>
      <c r="OTQ3" s="964"/>
      <c r="OTR3" s="964"/>
      <c r="OTS3" s="964"/>
      <c r="OTT3" s="964"/>
      <c r="OTU3" s="964"/>
      <c r="OTV3" s="964"/>
      <c r="OTW3" s="964"/>
      <c r="OTX3" s="964"/>
      <c r="OTY3" s="964"/>
      <c r="OTZ3" s="964"/>
      <c r="OUA3" s="964"/>
      <c r="OUB3" s="964"/>
      <c r="OUC3" s="964"/>
      <c r="OUD3" s="964"/>
      <c r="OUE3" s="964"/>
      <c r="OUF3" s="964"/>
      <c r="OUG3" s="964"/>
      <c r="OUH3" s="964"/>
      <c r="OUI3" s="964"/>
      <c r="OUJ3" s="964"/>
      <c r="OUK3" s="964"/>
      <c r="OUL3" s="964"/>
      <c r="OUM3" s="964"/>
      <c r="OUN3" s="964"/>
      <c r="OUO3" s="964"/>
      <c r="OUP3" s="964"/>
      <c r="OUQ3" s="964"/>
      <c r="OUR3" s="964"/>
      <c r="OUS3" s="964"/>
      <c r="OUT3" s="964"/>
      <c r="OUU3" s="964"/>
      <c r="OUV3" s="964"/>
      <c r="OUW3" s="964"/>
      <c r="OUX3" s="964"/>
      <c r="OUY3" s="964"/>
      <c r="OUZ3" s="964"/>
      <c r="OVA3" s="964"/>
      <c r="OVB3" s="964"/>
      <c r="OVC3" s="964"/>
      <c r="OVD3" s="964"/>
      <c r="OVE3" s="964"/>
      <c r="OVF3" s="964"/>
      <c r="OVG3" s="964"/>
      <c r="OVH3" s="964"/>
      <c r="OVI3" s="964"/>
      <c r="OVJ3" s="964"/>
      <c r="OVK3" s="964"/>
      <c r="OVL3" s="964"/>
      <c r="OVM3" s="964"/>
      <c r="OVN3" s="964"/>
      <c r="OVO3" s="964"/>
      <c r="OVP3" s="964"/>
      <c r="OVQ3" s="964"/>
      <c r="OVR3" s="964"/>
      <c r="OVS3" s="964"/>
      <c r="OVT3" s="964"/>
      <c r="OVU3" s="964"/>
      <c r="OVV3" s="964"/>
      <c r="OVW3" s="964"/>
      <c r="OVX3" s="964"/>
      <c r="OVY3" s="964"/>
      <c r="OVZ3" s="964"/>
      <c r="OWA3" s="964"/>
      <c r="OWB3" s="964"/>
      <c r="OWC3" s="964"/>
      <c r="OWD3" s="964"/>
      <c r="OWE3" s="964"/>
      <c r="OWF3" s="964"/>
      <c r="OWG3" s="964"/>
      <c r="OWH3" s="964"/>
      <c r="OWI3" s="964"/>
      <c r="OWJ3" s="964"/>
      <c r="OWK3" s="964"/>
      <c r="OWL3" s="964"/>
      <c r="OWM3" s="964"/>
      <c r="OWN3" s="964"/>
      <c r="OWO3" s="964"/>
      <c r="OWP3" s="964"/>
      <c r="OWQ3" s="964"/>
      <c r="OWR3" s="964"/>
      <c r="OWS3" s="964"/>
      <c r="OWT3" s="964"/>
      <c r="OWU3" s="964"/>
      <c r="OWV3" s="964"/>
      <c r="OWW3" s="964"/>
      <c r="OWX3" s="964"/>
      <c r="OWY3" s="964"/>
      <c r="OWZ3" s="964"/>
      <c r="OXA3" s="964"/>
      <c r="OXB3" s="964"/>
      <c r="OXC3" s="964"/>
      <c r="OXD3" s="964"/>
      <c r="OXE3" s="964"/>
      <c r="OXF3" s="964"/>
      <c r="OXG3" s="964"/>
      <c r="OXH3" s="964"/>
      <c r="OXI3" s="964"/>
      <c r="OXJ3" s="964"/>
      <c r="OXK3" s="964"/>
      <c r="OXL3" s="964"/>
      <c r="OXM3" s="964"/>
      <c r="OXN3" s="964"/>
      <c r="OXO3" s="964"/>
      <c r="OXP3" s="964"/>
      <c r="OXQ3" s="964"/>
      <c r="OXR3" s="964"/>
      <c r="OXS3" s="964"/>
      <c r="OXT3" s="964"/>
      <c r="OXU3" s="964"/>
      <c r="OXV3" s="964"/>
      <c r="OXW3" s="964"/>
      <c r="OXX3" s="964"/>
      <c r="OXY3" s="964"/>
      <c r="OXZ3" s="964"/>
      <c r="OYA3" s="964"/>
      <c r="OYB3" s="964"/>
      <c r="OYC3" s="964"/>
      <c r="OYD3" s="964"/>
      <c r="OYE3" s="964"/>
      <c r="OYF3" s="964"/>
      <c r="OYG3" s="964"/>
      <c r="OYH3" s="964"/>
      <c r="OYI3" s="964"/>
      <c r="OYJ3" s="964"/>
      <c r="OYK3" s="964"/>
      <c r="OYL3" s="964"/>
      <c r="OYM3" s="964"/>
      <c r="OYN3" s="964"/>
      <c r="OYO3" s="964"/>
      <c r="OYP3" s="964"/>
      <c r="OYQ3" s="964"/>
      <c r="OYR3" s="964"/>
      <c r="OYS3" s="964"/>
      <c r="OYT3" s="964"/>
      <c r="OYU3" s="964"/>
      <c r="OYV3" s="964"/>
      <c r="OYW3" s="964"/>
      <c r="OYX3" s="964"/>
      <c r="OYY3" s="964"/>
      <c r="OYZ3" s="964"/>
      <c r="OZA3" s="964"/>
      <c r="OZB3" s="964"/>
      <c r="OZC3" s="964"/>
      <c r="OZD3" s="964"/>
      <c r="OZE3" s="964"/>
      <c r="OZF3" s="964"/>
      <c r="OZG3" s="964"/>
      <c r="OZH3" s="964"/>
      <c r="OZI3" s="964"/>
      <c r="OZJ3" s="964"/>
      <c r="OZK3" s="964"/>
      <c r="OZL3" s="964"/>
      <c r="OZM3" s="964"/>
      <c r="OZN3" s="964"/>
      <c r="OZO3" s="964"/>
      <c r="OZP3" s="964"/>
      <c r="OZQ3" s="964"/>
      <c r="OZR3" s="964"/>
      <c r="OZS3" s="964"/>
      <c r="OZT3" s="964"/>
      <c r="OZU3" s="964"/>
      <c r="OZV3" s="964"/>
      <c r="OZW3" s="964"/>
      <c r="OZX3" s="964"/>
      <c r="OZY3" s="964"/>
      <c r="OZZ3" s="964"/>
      <c r="PAA3" s="964"/>
      <c r="PAB3" s="964"/>
      <c r="PAC3" s="964"/>
      <c r="PAD3" s="964"/>
      <c r="PAE3" s="964"/>
      <c r="PAF3" s="964"/>
      <c r="PAG3" s="964"/>
      <c r="PAH3" s="964"/>
      <c r="PAI3" s="964"/>
      <c r="PAJ3" s="964"/>
      <c r="PAK3" s="964"/>
      <c r="PAL3" s="964"/>
      <c r="PAM3" s="964"/>
      <c r="PAN3" s="964"/>
      <c r="PAO3" s="964"/>
      <c r="PAP3" s="964"/>
      <c r="PAQ3" s="964"/>
      <c r="PAR3" s="964"/>
      <c r="PAS3" s="964"/>
      <c r="PAT3" s="964"/>
      <c r="PAU3" s="964"/>
      <c r="PAV3" s="964"/>
      <c r="PAW3" s="964"/>
      <c r="PAX3" s="964"/>
      <c r="PAY3" s="964"/>
      <c r="PAZ3" s="964"/>
      <c r="PBA3" s="964"/>
      <c r="PBB3" s="964"/>
      <c r="PBC3" s="964"/>
      <c r="PBD3" s="964"/>
      <c r="PBE3" s="964"/>
      <c r="PBF3" s="964"/>
      <c r="PBG3" s="964"/>
      <c r="PBH3" s="964"/>
      <c r="PBI3" s="964"/>
      <c r="PBJ3" s="964"/>
      <c r="PBK3" s="964"/>
      <c r="PBL3" s="964"/>
      <c r="PBM3" s="964"/>
      <c r="PBN3" s="964"/>
      <c r="PBO3" s="964"/>
      <c r="PBP3" s="964"/>
      <c r="PBQ3" s="964"/>
      <c r="PBR3" s="964"/>
      <c r="PBS3" s="964"/>
      <c r="PBT3" s="964"/>
      <c r="PBU3" s="964"/>
      <c r="PBV3" s="964"/>
      <c r="PBW3" s="964"/>
      <c r="PBX3" s="964"/>
      <c r="PBY3" s="964"/>
      <c r="PBZ3" s="964"/>
      <c r="PCA3" s="964"/>
      <c r="PCB3" s="964"/>
      <c r="PCC3" s="964"/>
      <c r="PCD3" s="964"/>
      <c r="PCE3" s="964"/>
      <c r="PCF3" s="964"/>
      <c r="PCG3" s="964"/>
      <c r="PCH3" s="964"/>
      <c r="PCI3" s="964"/>
      <c r="PCJ3" s="964"/>
      <c r="PCK3" s="964"/>
      <c r="PCL3" s="964"/>
      <c r="PCM3" s="964"/>
      <c r="PCN3" s="964"/>
      <c r="PCO3" s="964"/>
      <c r="PCP3" s="964"/>
      <c r="PCQ3" s="964"/>
      <c r="PCR3" s="964"/>
      <c r="PCS3" s="964"/>
      <c r="PCT3" s="964"/>
      <c r="PCU3" s="964"/>
      <c r="PCV3" s="964"/>
      <c r="PCW3" s="964"/>
      <c r="PCX3" s="964"/>
      <c r="PCY3" s="964"/>
      <c r="PCZ3" s="964"/>
      <c r="PDA3" s="964"/>
      <c r="PDB3" s="964"/>
      <c r="PDC3" s="964"/>
      <c r="PDD3" s="964"/>
      <c r="PDE3" s="964"/>
      <c r="PDF3" s="964"/>
      <c r="PDG3" s="964"/>
      <c r="PDH3" s="964"/>
      <c r="PDI3" s="964"/>
      <c r="PDJ3" s="964"/>
      <c r="PDK3" s="964"/>
      <c r="PDL3" s="964"/>
      <c r="PDM3" s="964"/>
      <c r="PDN3" s="964"/>
      <c r="PDO3" s="964"/>
      <c r="PDP3" s="964"/>
      <c r="PDQ3" s="964"/>
      <c r="PDR3" s="964"/>
      <c r="PDS3" s="964"/>
      <c r="PDT3" s="964"/>
      <c r="PDU3" s="964"/>
      <c r="PDV3" s="964"/>
      <c r="PDW3" s="964"/>
      <c r="PDX3" s="964"/>
      <c r="PDY3" s="964"/>
      <c r="PDZ3" s="964"/>
      <c r="PEA3" s="964"/>
      <c r="PEB3" s="964"/>
      <c r="PEC3" s="964"/>
      <c r="PED3" s="964"/>
      <c r="PEE3" s="964"/>
      <c r="PEF3" s="964"/>
      <c r="PEG3" s="964"/>
      <c r="PEH3" s="964"/>
      <c r="PEI3" s="964"/>
      <c r="PEJ3" s="964"/>
      <c r="PEK3" s="964"/>
      <c r="PEL3" s="964"/>
      <c r="PEM3" s="964"/>
      <c r="PEN3" s="964"/>
      <c r="PEO3" s="964"/>
      <c r="PEP3" s="964"/>
      <c r="PEQ3" s="964"/>
      <c r="PER3" s="964"/>
      <c r="PES3" s="964"/>
      <c r="PET3" s="964"/>
      <c r="PEU3" s="964"/>
      <c r="PEV3" s="964"/>
      <c r="PEW3" s="964"/>
      <c r="PEX3" s="964"/>
      <c r="PEY3" s="964"/>
      <c r="PEZ3" s="964"/>
      <c r="PFA3" s="964"/>
      <c r="PFB3" s="964"/>
      <c r="PFC3" s="964"/>
      <c r="PFD3" s="964"/>
      <c r="PFE3" s="964"/>
      <c r="PFF3" s="964"/>
      <c r="PFG3" s="964"/>
      <c r="PFH3" s="964"/>
      <c r="PFI3" s="964"/>
      <c r="PFJ3" s="964"/>
      <c r="PFK3" s="964"/>
      <c r="PFL3" s="964"/>
      <c r="PFM3" s="964"/>
      <c r="PFN3" s="964"/>
      <c r="PFO3" s="964"/>
      <c r="PFP3" s="964"/>
      <c r="PFQ3" s="964"/>
      <c r="PFR3" s="964"/>
      <c r="PFS3" s="964"/>
      <c r="PFT3" s="964"/>
      <c r="PFU3" s="964"/>
      <c r="PFV3" s="964"/>
      <c r="PFW3" s="964"/>
      <c r="PFX3" s="964"/>
      <c r="PFY3" s="964"/>
      <c r="PFZ3" s="964"/>
      <c r="PGA3" s="964"/>
      <c r="PGB3" s="964"/>
      <c r="PGC3" s="964"/>
      <c r="PGD3" s="964"/>
      <c r="PGE3" s="964"/>
      <c r="PGF3" s="964"/>
      <c r="PGG3" s="964"/>
      <c r="PGH3" s="964"/>
      <c r="PGI3" s="964"/>
      <c r="PGJ3" s="964"/>
      <c r="PGK3" s="964"/>
      <c r="PGL3" s="964"/>
      <c r="PGM3" s="964"/>
      <c r="PGN3" s="964"/>
      <c r="PGO3" s="964"/>
      <c r="PGP3" s="964"/>
      <c r="PGQ3" s="964"/>
      <c r="PGR3" s="964"/>
      <c r="PGS3" s="964"/>
      <c r="PGT3" s="964"/>
      <c r="PGU3" s="964"/>
      <c r="PGV3" s="964"/>
      <c r="PGW3" s="964"/>
      <c r="PGX3" s="964"/>
      <c r="PGY3" s="964"/>
      <c r="PGZ3" s="964"/>
      <c r="PHA3" s="964"/>
      <c r="PHB3" s="964"/>
      <c r="PHC3" s="964"/>
      <c r="PHD3" s="964"/>
      <c r="PHE3" s="964"/>
      <c r="PHF3" s="964"/>
      <c r="PHG3" s="964"/>
      <c r="PHH3" s="964"/>
      <c r="PHI3" s="964"/>
      <c r="PHJ3" s="964"/>
      <c r="PHK3" s="964"/>
      <c r="PHL3" s="964"/>
      <c r="PHM3" s="964"/>
      <c r="PHN3" s="964"/>
      <c r="PHO3" s="964"/>
      <c r="PHP3" s="964"/>
      <c r="PHQ3" s="964"/>
      <c r="PHR3" s="964"/>
      <c r="PHS3" s="964"/>
      <c r="PHT3" s="964"/>
      <c r="PHU3" s="964"/>
      <c r="PHV3" s="964"/>
      <c r="PHW3" s="964"/>
      <c r="PHX3" s="964"/>
      <c r="PHY3" s="964"/>
      <c r="PHZ3" s="964"/>
      <c r="PIA3" s="964"/>
      <c r="PIB3" s="964"/>
      <c r="PIC3" s="964"/>
      <c r="PID3" s="964"/>
      <c r="PIE3" s="964"/>
      <c r="PIF3" s="964"/>
      <c r="PIG3" s="964"/>
      <c r="PIH3" s="964"/>
      <c r="PII3" s="964"/>
      <c r="PIJ3" s="964"/>
      <c r="PIK3" s="964"/>
      <c r="PIL3" s="964"/>
      <c r="PIM3" s="964"/>
      <c r="PIN3" s="964"/>
      <c r="PIO3" s="964"/>
      <c r="PIP3" s="964"/>
      <c r="PIQ3" s="964"/>
      <c r="PIR3" s="964"/>
      <c r="PIS3" s="964"/>
      <c r="PIT3" s="964"/>
      <c r="PIU3" s="964"/>
      <c r="PIV3" s="964"/>
      <c r="PIW3" s="964"/>
      <c r="PIX3" s="964"/>
      <c r="PIY3" s="964"/>
      <c r="PIZ3" s="964"/>
      <c r="PJA3" s="964"/>
      <c r="PJB3" s="964"/>
      <c r="PJC3" s="964"/>
      <c r="PJD3" s="964"/>
      <c r="PJE3" s="964"/>
      <c r="PJF3" s="964"/>
      <c r="PJG3" s="964"/>
      <c r="PJH3" s="964"/>
      <c r="PJI3" s="964"/>
      <c r="PJJ3" s="964"/>
      <c r="PJK3" s="964"/>
      <c r="PJL3" s="964"/>
      <c r="PJM3" s="964"/>
      <c r="PJN3" s="964"/>
      <c r="PJO3" s="964"/>
      <c r="PJP3" s="964"/>
      <c r="PJQ3" s="964"/>
      <c r="PJR3" s="964"/>
      <c r="PJS3" s="964"/>
      <c r="PJT3" s="964"/>
      <c r="PJU3" s="964"/>
      <c r="PJV3" s="964"/>
      <c r="PJW3" s="964"/>
      <c r="PJX3" s="964"/>
      <c r="PJY3" s="964"/>
      <c r="PJZ3" s="964"/>
      <c r="PKA3" s="964"/>
      <c r="PKB3" s="964"/>
      <c r="PKC3" s="964"/>
      <c r="PKD3" s="964"/>
      <c r="PKE3" s="964"/>
      <c r="PKF3" s="964"/>
      <c r="PKG3" s="964"/>
      <c r="PKH3" s="964"/>
      <c r="PKI3" s="964"/>
      <c r="PKJ3" s="964"/>
      <c r="PKK3" s="964"/>
      <c r="PKL3" s="964"/>
      <c r="PKM3" s="964"/>
      <c r="PKN3" s="964"/>
      <c r="PKO3" s="964"/>
      <c r="PKP3" s="964"/>
      <c r="PKQ3" s="964"/>
      <c r="PKR3" s="964"/>
      <c r="PKS3" s="964"/>
      <c r="PKT3" s="964"/>
      <c r="PKU3" s="964"/>
      <c r="PKV3" s="964"/>
      <c r="PKW3" s="964"/>
      <c r="PKX3" s="964"/>
      <c r="PKY3" s="964"/>
      <c r="PKZ3" s="964"/>
      <c r="PLA3" s="964"/>
      <c r="PLB3" s="964"/>
      <c r="PLC3" s="964"/>
      <c r="PLD3" s="964"/>
      <c r="PLE3" s="964"/>
      <c r="PLF3" s="964"/>
      <c r="PLG3" s="964"/>
      <c r="PLH3" s="964"/>
      <c r="PLI3" s="964"/>
      <c r="PLJ3" s="964"/>
      <c r="PLK3" s="964"/>
      <c r="PLL3" s="964"/>
      <c r="PLM3" s="964"/>
      <c r="PLN3" s="964"/>
      <c r="PLO3" s="964"/>
      <c r="PLP3" s="964"/>
      <c r="PLQ3" s="964"/>
      <c r="PLR3" s="964"/>
      <c r="PLS3" s="964"/>
      <c r="PLT3" s="964"/>
      <c r="PLU3" s="964"/>
      <c r="PLV3" s="964"/>
      <c r="PLW3" s="964"/>
      <c r="PLX3" s="964"/>
      <c r="PLY3" s="964"/>
      <c r="PLZ3" s="964"/>
      <c r="PMA3" s="964"/>
      <c r="PMB3" s="964"/>
      <c r="PMC3" s="964"/>
      <c r="PMD3" s="964"/>
      <c r="PME3" s="964"/>
      <c r="PMF3" s="964"/>
      <c r="PMG3" s="964"/>
      <c r="PMH3" s="964"/>
      <c r="PMI3" s="964"/>
      <c r="PMJ3" s="964"/>
      <c r="PMK3" s="964"/>
      <c r="PML3" s="964"/>
      <c r="PMM3" s="964"/>
      <c r="PMN3" s="964"/>
      <c r="PMO3" s="964"/>
      <c r="PMP3" s="964"/>
      <c r="PMQ3" s="964"/>
      <c r="PMR3" s="964"/>
      <c r="PMS3" s="964"/>
      <c r="PMT3" s="964"/>
      <c r="PMU3" s="964"/>
      <c r="PMV3" s="964"/>
      <c r="PMW3" s="964"/>
      <c r="PMX3" s="964"/>
      <c r="PMY3" s="964"/>
      <c r="PMZ3" s="964"/>
      <c r="PNA3" s="964"/>
      <c r="PNB3" s="964"/>
      <c r="PNC3" s="964"/>
      <c r="PND3" s="964"/>
      <c r="PNE3" s="964"/>
      <c r="PNF3" s="964"/>
      <c r="PNG3" s="964"/>
      <c r="PNH3" s="964"/>
      <c r="PNI3" s="964"/>
      <c r="PNJ3" s="964"/>
      <c r="PNK3" s="964"/>
      <c r="PNL3" s="964"/>
      <c r="PNM3" s="964"/>
      <c r="PNN3" s="964"/>
      <c r="PNO3" s="964"/>
      <c r="PNP3" s="964"/>
      <c r="PNQ3" s="964"/>
      <c r="PNR3" s="964"/>
      <c r="PNS3" s="964"/>
      <c r="PNT3" s="964"/>
      <c r="PNU3" s="964"/>
      <c r="PNV3" s="964"/>
      <c r="PNW3" s="964"/>
      <c r="PNX3" s="964"/>
      <c r="PNY3" s="964"/>
      <c r="PNZ3" s="964"/>
      <c r="POA3" s="964"/>
      <c r="POB3" s="964"/>
      <c r="POC3" s="964"/>
      <c r="POD3" s="964"/>
      <c r="POE3" s="964"/>
      <c r="POF3" s="964"/>
      <c r="POG3" s="964"/>
      <c r="POH3" s="964"/>
      <c r="POI3" s="964"/>
      <c r="POJ3" s="964"/>
      <c r="POK3" s="964"/>
      <c r="POL3" s="964"/>
      <c r="POM3" s="964"/>
      <c r="PON3" s="964"/>
      <c r="POO3" s="964"/>
      <c r="POP3" s="964"/>
      <c r="POQ3" s="964"/>
      <c r="POR3" s="964"/>
      <c r="POS3" s="964"/>
      <c r="POT3" s="964"/>
      <c r="POU3" s="964"/>
      <c r="POV3" s="964"/>
      <c r="POW3" s="964"/>
      <c r="POX3" s="964"/>
      <c r="POY3" s="964"/>
      <c r="POZ3" s="964"/>
      <c r="PPA3" s="964"/>
      <c r="PPB3" s="964"/>
      <c r="PPC3" s="964"/>
      <c r="PPD3" s="964"/>
      <c r="PPE3" s="964"/>
      <c r="PPF3" s="964"/>
      <c r="PPG3" s="964"/>
      <c r="PPH3" s="964"/>
      <c r="PPI3" s="964"/>
      <c r="PPJ3" s="964"/>
      <c r="PPK3" s="964"/>
      <c r="PPL3" s="964"/>
      <c r="PPM3" s="964"/>
      <c r="PPN3" s="964"/>
      <c r="PPO3" s="964"/>
      <c r="PPP3" s="964"/>
      <c r="PPQ3" s="964"/>
      <c r="PPR3" s="964"/>
      <c r="PPS3" s="964"/>
      <c r="PPT3" s="964"/>
      <c r="PPU3" s="964"/>
      <c r="PPV3" s="964"/>
      <c r="PPW3" s="964"/>
      <c r="PPX3" s="964"/>
      <c r="PPY3" s="964"/>
      <c r="PPZ3" s="964"/>
      <c r="PQA3" s="964"/>
      <c r="PQB3" s="964"/>
      <c r="PQC3" s="964"/>
      <c r="PQD3" s="964"/>
      <c r="PQE3" s="964"/>
      <c r="PQF3" s="964"/>
      <c r="PQG3" s="964"/>
      <c r="PQH3" s="964"/>
      <c r="PQI3" s="964"/>
      <c r="PQJ3" s="964"/>
      <c r="PQK3" s="964"/>
      <c r="PQL3" s="964"/>
      <c r="PQM3" s="964"/>
      <c r="PQN3" s="964"/>
      <c r="PQO3" s="964"/>
      <c r="PQP3" s="964"/>
      <c r="PQQ3" s="964"/>
      <c r="PQR3" s="964"/>
      <c r="PQS3" s="964"/>
      <c r="PQT3" s="964"/>
      <c r="PQU3" s="964"/>
      <c r="PQV3" s="964"/>
      <c r="PQW3" s="964"/>
      <c r="PQX3" s="964"/>
      <c r="PQY3" s="964"/>
      <c r="PQZ3" s="964"/>
      <c r="PRA3" s="964"/>
      <c r="PRB3" s="964"/>
      <c r="PRC3" s="964"/>
      <c r="PRD3" s="964"/>
      <c r="PRE3" s="964"/>
      <c r="PRF3" s="964"/>
      <c r="PRG3" s="964"/>
      <c r="PRH3" s="964"/>
      <c r="PRI3" s="964"/>
      <c r="PRJ3" s="964"/>
      <c r="PRK3" s="964"/>
      <c r="PRL3" s="964"/>
      <c r="PRM3" s="964"/>
      <c r="PRN3" s="964"/>
      <c r="PRO3" s="964"/>
      <c r="PRP3" s="964"/>
      <c r="PRQ3" s="964"/>
      <c r="PRR3" s="964"/>
      <c r="PRS3" s="964"/>
      <c r="PRT3" s="964"/>
      <c r="PRU3" s="964"/>
      <c r="PRV3" s="964"/>
      <c r="PRW3" s="964"/>
      <c r="PRX3" s="964"/>
      <c r="PRY3" s="964"/>
      <c r="PRZ3" s="964"/>
      <c r="PSA3" s="964"/>
      <c r="PSB3" s="964"/>
      <c r="PSC3" s="964"/>
      <c r="PSD3" s="964"/>
      <c r="PSE3" s="964"/>
      <c r="PSF3" s="964"/>
      <c r="PSG3" s="964"/>
      <c r="PSH3" s="964"/>
      <c r="PSI3" s="964"/>
      <c r="PSJ3" s="964"/>
      <c r="PSK3" s="964"/>
      <c r="PSL3" s="964"/>
      <c r="PSM3" s="964"/>
      <c r="PSN3" s="964"/>
      <c r="PSO3" s="964"/>
      <c r="PSP3" s="964"/>
      <c r="PSQ3" s="964"/>
      <c r="PSR3" s="964"/>
      <c r="PSS3" s="964"/>
      <c r="PST3" s="964"/>
      <c r="PSU3" s="964"/>
      <c r="PSV3" s="964"/>
      <c r="PSW3" s="964"/>
      <c r="PSX3" s="964"/>
      <c r="PSY3" s="964"/>
      <c r="PSZ3" s="964"/>
      <c r="PTA3" s="964"/>
      <c r="PTB3" s="964"/>
      <c r="PTC3" s="964"/>
      <c r="PTD3" s="964"/>
      <c r="PTE3" s="964"/>
      <c r="PTF3" s="964"/>
      <c r="PTG3" s="964"/>
      <c r="PTH3" s="964"/>
      <c r="PTI3" s="964"/>
      <c r="PTJ3" s="964"/>
      <c r="PTK3" s="964"/>
      <c r="PTL3" s="964"/>
      <c r="PTM3" s="964"/>
      <c r="PTN3" s="964"/>
      <c r="PTO3" s="964"/>
      <c r="PTP3" s="964"/>
      <c r="PTQ3" s="964"/>
      <c r="PTR3" s="964"/>
      <c r="PTS3" s="964"/>
      <c r="PTT3" s="964"/>
      <c r="PTU3" s="964"/>
      <c r="PTV3" s="964"/>
      <c r="PTW3" s="964"/>
      <c r="PTX3" s="964"/>
      <c r="PTY3" s="964"/>
      <c r="PTZ3" s="964"/>
      <c r="PUA3" s="964"/>
      <c r="PUB3" s="964"/>
      <c r="PUC3" s="964"/>
      <c r="PUD3" s="964"/>
      <c r="PUE3" s="964"/>
      <c r="PUF3" s="964"/>
      <c r="PUG3" s="964"/>
      <c r="PUH3" s="964"/>
      <c r="PUI3" s="964"/>
      <c r="PUJ3" s="964"/>
      <c r="PUK3" s="964"/>
      <c r="PUL3" s="964"/>
      <c r="PUM3" s="964"/>
      <c r="PUN3" s="964"/>
      <c r="PUO3" s="964"/>
      <c r="PUP3" s="964"/>
      <c r="PUQ3" s="964"/>
      <c r="PUR3" s="964"/>
      <c r="PUS3" s="964"/>
      <c r="PUT3" s="964"/>
      <c r="PUU3" s="964"/>
      <c r="PUV3" s="964"/>
      <c r="PUW3" s="964"/>
      <c r="PUX3" s="964"/>
      <c r="PUY3" s="964"/>
      <c r="PUZ3" s="964"/>
      <c r="PVA3" s="964"/>
      <c r="PVB3" s="964"/>
      <c r="PVC3" s="964"/>
      <c r="PVD3" s="964"/>
      <c r="PVE3" s="964"/>
      <c r="PVF3" s="964"/>
      <c r="PVG3" s="964"/>
      <c r="PVH3" s="964"/>
      <c r="PVI3" s="964"/>
      <c r="PVJ3" s="964"/>
      <c r="PVK3" s="964"/>
      <c r="PVL3" s="964"/>
      <c r="PVM3" s="964"/>
      <c r="PVN3" s="964"/>
      <c r="PVO3" s="964"/>
      <c r="PVP3" s="964"/>
      <c r="PVQ3" s="964"/>
      <c r="PVR3" s="964"/>
      <c r="PVS3" s="964"/>
      <c r="PVT3" s="964"/>
      <c r="PVU3" s="964"/>
      <c r="PVV3" s="964"/>
      <c r="PVW3" s="964"/>
      <c r="PVX3" s="964"/>
      <c r="PVY3" s="964"/>
      <c r="PVZ3" s="964"/>
      <c r="PWA3" s="964"/>
      <c r="PWB3" s="964"/>
      <c r="PWC3" s="964"/>
      <c r="PWD3" s="964"/>
      <c r="PWE3" s="964"/>
      <c r="PWF3" s="964"/>
      <c r="PWG3" s="964"/>
      <c r="PWH3" s="964"/>
      <c r="PWI3" s="964"/>
      <c r="PWJ3" s="964"/>
      <c r="PWK3" s="964"/>
      <c r="PWL3" s="964"/>
      <c r="PWM3" s="964"/>
      <c r="PWN3" s="964"/>
      <c r="PWO3" s="964"/>
      <c r="PWP3" s="964"/>
      <c r="PWQ3" s="964"/>
      <c r="PWR3" s="964"/>
      <c r="PWS3" s="964"/>
      <c r="PWT3" s="964"/>
      <c r="PWU3" s="964"/>
      <c r="PWV3" s="964"/>
      <c r="PWW3" s="964"/>
      <c r="PWX3" s="964"/>
      <c r="PWY3" s="964"/>
      <c r="PWZ3" s="964"/>
      <c r="PXA3" s="964"/>
      <c r="PXB3" s="964"/>
      <c r="PXC3" s="964"/>
      <c r="PXD3" s="964"/>
      <c r="PXE3" s="964"/>
      <c r="PXF3" s="964"/>
      <c r="PXG3" s="964"/>
      <c r="PXH3" s="964"/>
      <c r="PXI3" s="964"/>
      <c r="PXJ3" s="964"/>
      <c r="PXK3" s="964"/>
      <c r="PXL3" s="964"/>
      <c r="PXM3" s="964"/>
      <c r="PXN3" s="964"/>
      <c r="PXO3" s="964"/>
      <c r="PXP3" s="964"/>
      <c r="PXQ3" s="964"/>
      <c r="PXR3" s="964"/>
      <c r="PXS3" s="964"/>
      <c r="PXT3" s="964"/>
      <c r="PXU3" s="964"/>
      <c r="PXV3" s="964"/>
      <c r="PXW3" s="964"/>
      <c r="PXX3" s="964"/>
      <c r="PXY3" s="964"/>
      <c r="PXZ3" s="964"/>
      <c r="PYA3" s="964"/>
      <c r="PYB3" s="964"/>
      <c r="PYC3" s="964"/>
      <c r="PYD3" s="964"/>
      <c r="PYE3" s="964"/>
      <c r="PYF3" s="964"/>
      <c r="PYG3" s="964"/>
      <c r="PYH3" s="964"/>
      <c r="PYI3" s="964"/>
      <c r="PYJ3" s="964"/>
      <c r="PYK3" s="964"/>
      <c r="PYL3" s="964"/>
      <c r="PYM3" s="964"/>
      <c r="PYN3" s="964"/>
      <c r="PYO3" s="964"/>
      <c r="PYP3" s="964"/>
      <c r="PYQ3" s="964"/>
      <c r="PYR3" s="964"/>
      <c r="PYS3" s="964"/>
      <c r="PYT3" s="964"/>
      <c r="PYU3" s="964"/>
      <c r="PYV3" s="964"/>
      <c r="PYW3" s="964"/>
      <c r="PYX3" s="964"/>
      <c r="PYY3" s="964"/>
      <c r="PYZ3" s="964"/>
      <c r="PZA3" s="964"/>
      <c r="PZB3" s="964"/>
      <c r="PZC3" s="964"/>
      <c r="PZD3" s="964"/>
      <c r="PZE3" s="964"/>
      <c r="PZF3" s="964"/>
      <c r="PZG3" s="964"/>
      <c r="PZH3" s="964"/>
      <c r="PZI3" s="964"/>
      <c r="PZJ3" s="964"/>
      <c r="PZK3" s="964"/>
      <c r="PZL3" s="964"/>
      <c r="PZM3" s="964"/>
      <c r="PZN3" s="964"/>
      <c r="PZO3" s="964"/>
      <c r="PZP3" s="964"/>
      <c r="PZQ3" s="964"/>
      <c r="PZR3" s="964"/>
      <c r="PZS3" s="964"/>
      <c r="PZT3" s="964"/>
      <c r="PZU3" s="964"/>
      <c r="PZV3" s="964"/>
      <c r="PZW3" s="964"/>
      <c r="PZX3" s="964"/>
      <c r="PZY3" s="964"/>
      <c r="PZZ3" s="964"/>
      <c r="QAA3" s="964"/>
      <c r="QAB3" s="964"/>
      <c r="QAC3" s="964"/>
      <c r="QAD3" s="964"/>
      <c r="QAE3" s="964"/>
      <c r="QAF3" s="964"/>
      <c r="QAG3" s="964"/>
      <c r="QAH3" s="964"/>
      <c r="QAI3" s="964"/>
      <c r="QAJ3" s="964"/>
      <c r="QAK3" s="964"/>
      <c r="QAL3" s="964"/>
      <c r="QAM3" s="964"/>
      <c r="QAN3" s="964"/>
      <c r="QAO3" s="964"/>
      <c r="QAP3" s="964"/>
      <c r="QAQ3" s="964"/>
      <c r="QAR3" s="964"/>
      <c r="QAS3" s="964"/>
      <c r="QAT3" s="964"/>
      <c r="QAU3" s="964"/>
      <c r="QAV3" s="964"/>
      <c r="QAW3" s="964"/>
      <c r="QAX3" s="964"/>
      <c r="QAY3" s="964"/>
      <c r="QAZ3" s="964"/>
      <c r="QBA3" s="964"/>
      <c r="QBB3" s="964"/>
      <c r="QBC3" s="964"/>
      <c r="QBD3" s="964"/>
      <c r="QBE3" s="964"/>
      <c r="QBF3" s="964"/>
      <c r="QBG3" s="964"/>
      <c r="QBH3" s="964"/>
      <c r="QBI3" s="964"/>
      <c r="QBJ3" s="964"/>
      <c r="QBK3" s="964"/>
      <c r="QBL3" s="964"/>
      <c r="QBM3" s="964"/>
      <c r="QBN3" s="964"/>
      <c r="QBO3" s="964"/>
      <c r="QBP3" s="964"/>
      <c r="QBQ3" s="964"/>
      <c r="QBR3" s="964"/>
      <c r="QBS3" s="964"/>
      <c r="QBT3" s="964"/>
      <c r="QBU3" s="964"/>
      <c r="QBV3" s="964"/>
      <c r="QBW3" s="964"/>
      <c r="QBX3" s="964"/>
      <c r="QBY3" s="964"/>
      <c r="QBZ3" s="964"/>
      <c r="QCA3" s="964"/>
      <c r="QCB3" s="964"/>
      <c r="QCC3" s="964"/>
      <c r="QCD3" s="964"/>
      <c r="QCE3" s="964"/>
      <c r="QCF3" s="964"/>
      <c r="QCG3" s="964"/>
      <c r="QCH3" s="964"/>
      <c r="QCI3" s="964"/>
      <c r="QCJ3" s="964"/>
      <c r="QCK3" s="964"/>
      <c r="QCL3" s="964"/>
      <c r="QCM3" s="964"/>
      <c r="QCN3" s="964"/>
      <c r="QCO3" s="964"/>
      <c r="QCP3" s="964"/>
      <c r="QCQ3" s="964"/>
      <c r="QCR3" s="964"/>
      <c r="QCS3" s="964"/>
      <c r="QCT3" s="964"/>
      <c r="QCU3" s="964"/>
      <c r="QCV3" s="964"/>
      <c r="QCW3" s="964"/>
      <c r="QCX3" s="964"/>
      <c r="QCY3" s="964"/>
      <c r="QCZ3" s="964"/>
      <c r="QDA3" s="964"/>
      <c r="QDB3" s="964"/>
      <c r="QDC3" s="964"/>
      <c r="QDD3" s="964"/>
      <c r="QDE3" s="964"/>
      <c r="QDF3" s="964"/>
      <c r="QDG3" s="964"/>
      <c r="QDH3" s="964"/>
      <c r="QDI3" s="964"/>
      <c r="QDJ3" s="964"/>
      <c r="QDK3" s="964"/>
      <c r="QDL3" s="964"/>
      <c r="QDM3" s="964"/>
      <c r="QDN3" s="964"/>
      <c r="QDO3" s="964"/>
      <c r="QDP3" s="964"/>
      <c r="QDQ3" s="964"/>
      <c r="QDR3" s="964"/>
      <c r="QDS3" s="964"/>
      <c r="QDT3" s="964"/>
      <c r="QDU3" s="964"/>
      <c r="QDV3" s="964"/>
      <c r="QDW3" s="964"/>
      <c r="QDX3" s="964"/>
      <c r="QDY3" s="964"/>
      <c r="QDZ3" s="964"/>
      <c r="QEA3" s="964"/>
      <c r="QEB3" s="964"/>
      <c r="QEC3" s="964"/>
      <c r="QED3" s="964"/>
      <c r="QEE3" s="964"/>
      <c r="QEF3" s="964"/>
      <c r="QEG3" s="964"/>
      <c r="QEH3" s="964"/>
      <c r="QEI3" s="964"/>
      <c r="QEJ3" s="964"/>
      <c r="QEK3" s="964"/>
      <c r="QEL3" s="964"/>
      <c r="QEM3" s="964"/>
      <c r="QEN3" s="964"/>
      <c r="QEO3" s="964"/>
      <c r="QEP3" s="964"/>
      <c r="QEQ3" s="964"/>
      <c r="QER3" s="964"/>
      <c r="QES3" s="964"/>
      <c r="QET3" s="964"/>
      <c r="QEU3" s="964"/>
      <c r="QEV3" s="964"/>
      <c r="QEW3" s="964"/>
      <c r="QEX3" s="964"/>
      <c r="QEY3" s="964"/>
      <c r="QEZ3" s="964"/>
      <c r="QFA3" s="964"/>
      <c r="QFB3" s="964"/>
      <c r="QFC3" s="964"/>
      <c r="QFD3" s="964"/>
      <c r="QFE3" s="964"/>
      <c r="QFF3" s="964"/>
      <c r="QFG3" s="964"/>
      <c r="QFH3" s="964"/>
      <c r="QFI3" s="964"/>
      <c r="QFJ3" s="964"/>
      <c r="QFK3" s="964"/>
      <c r="QFL3" s="964"/>
      <c r="QFM3" s="964"/>
      <c r="QFN3" s="964"/>
      <c r="QFO3" s="964"/>
      <c r="QFP3" s="964"/>
      <c r="QFQ3" s="964"/>
      <c r="QFR3" s="964"/>
      <c r="QFS3" s="964"/>
      <c r="QFT3" s="964"/>
      <c r="QFU3" s="964"/>
      <c r="QFV3" s="964"/>
      <c r="QFW3" s="964"/>
      <c r="QFX3" s="964"/>
      <c r="QFY3" s="964"/>
      <c r="QFZ3" s="964"/>
      <c r="QGA3" s="964"/>
      <c r="QGB3" s="964"/>
      <c r="QGC3" s="964"/>
      <c r="QGD3" s="964"/>
      <c r="QGE3" s="964"/>
      <c r="QGF3" s="964"/>
      <c r="QGG3" s="964"/>
      <c r="QGH3" s="964"/>
      <c r="QGI3" s="964"/>
      <c r="QGJ3" s="964"/>
      <c r="QGK3" s="964"/>
      <c r="QGL3" s="964"/>
      <c r="QGM3" s="964"/>
      <c r="QGN3" s="964"/>
      <c r="QGO3" s="964"/>
      <c r="QGP3" s="964"/>
      <c r="QGQ3" s="964"/>
      <c r="QGR3" s="964"/>
      <c r="QGS3" s="964"/>
      <c r="QGT3" s="964"/>
      <c r="QGU3" s="964"/>
      <c r="QGV3" s="964"/>
      <c r="QGW3" s="964"/>
      <c r="QGX3" s="964"/>
      <c r="QGY3" s="964"/>
      <c r="QGZ3" s="964"/>
      <c r="QHA3" s="964"/>
      <c r="QHB3" s="964"/>
      <c r="QHC3" s="964"/>
      <c r="QHD3" s="964"/>
      <c r="QHE3" s="964"/>
      <c r="QHF3" s="964"/>
      <c r="QHG3" s="964"/>
      <c r="QHH3" s="964"/>
      <c r="QHI3" s="964"/>
      <c r="QHJ3" s="964"/>
      <c r="QHK3" s="964"/>
      <c r="QHL3" s="964"/>
      <c r="QHM3" s="964"/>
      <c r="QHN3" s="964"/>
      <c r="QHO3" s="964"/>
      <c r="QHP3" s="964"/>
      <c r="QHQ3" s="964"/>
      <c r="QHR3" s="964"/>
      <c r="QHS3" s="964"/>
      <c r="QHT3" s="964"/>
      <c r="QHU3" s="964"/>
      <c r="QHV3" s="964"/>
      <c r="QHW3" s="964"/>
      <c r="QHX3" s="964"/>
      <c r="QHY3" s="964"/>
      <c r="QHZ3" s="964"/>
      <c r="QIA3" s="964"/>
      <c r="QIB3" s="964"/>
      <c r="QIC3" s="964"/>
      <c r="QID3" s="964"/>
      <c r="QIE3" s="964"/>
      <c r="QIF3" s="964"/>
      <c r="QIG3" s="964"/>
      <c r="QIH3" s="964"/>
      <c r="QII3" s="964"/>
      <c r="QIJ3" s="964"/>
      <c r="QIK3" s="964"/>
      <c r="QIL3" s="964"/>
      <c r="QIM3" s="964"/>
      <c r="QIN3" s="964"/>
      <c r="QIO3" s="964"/>
      <c r="QIP3" s="964"/>
      <c r="QIQ3" s="964"/>
      <c r="QIR3" s="964"/>
      <c r="QIS3" s="964"/>
      <c r="QIT3" s="964"/>
      <c r="QIU3" s="964"/>
      <c r="QIV3" s="964"/>
      <c r="QIW3" s="964"/>
      <c r="QIX3" s="964"/>
      <c r="QIY3" s="964"/>
      <c r="QIZ3" s="964"/>
      <c r="QJA3" s="964"/>
      <c r="QJB3" s="964"/>
      <c r="QJC3" s="964"/>
      <c r="QJD3" s="964"/>
      <c r="QJE3" s="964"/>
      <c r="QJF3" s="964"/>
      <c r="QJG3" s="964"/>
      <c r="QJH3" s="964"/>
      <c r="QJI3" s="964"/>
      <c r="QJJ3" s="964"/>
      <c r="QJK3" s="964"/>
      <c r="QJL3" s="964"/>
      <c r="QJM3" s="964"/>
      <c r="QJN3" s="964"/>
      <c r="QJO3" s="964"/>
      <c r="QJP3" s="964"/>
      <c r="QJQ3" s="964"/>
      <c r="QJR3" s="964"/>
      <c r="QJS3" s="964"/>
      <c r="QJT3" s="964"/>
      <c r="QJU3" s="964"/>
      <c r="QJV3" s="964"/>
      <c r="QJW3" s="964"/>
      <c r="QJX3" s="964"/>
      <c r="QJY3" s="964"/>
      <c r="QJZ3" s="964"/>
      <c r="QKA3" s="964"/>
      <c r="QKB3" s="964"/>
      <c r="QKC3" s="964"/>
      <c r="QKD3" s="964"/>
      <c r="QKE3" s="964"/>
      <c r="QKF3" s="964"/>
      <c r="QKG3" s="964"/>
      <c r="QKH3" s="964"/>
      <c r="QKI3" s="964"/>
      <c r="QKJ3" s="964"/>
      <c r="QKK3" s="964"/>
      <c r="QKL3" s="964"/>
      <c r="QKM3" s="964"/>
      <c r="QKN3" s="964"/>
      <c r="QKO3" s="964"/>
      <c r="QKP3" s="964"/>
      <c r="QKQ3" s="964"/>
      <c r="QKR3" s="964"/>
      <c r="QKS3" s="964"/>
      <c r="QKT3" s="964"/>
      <c r="QKU3" s="964"/>
      <c r="QKV3" s="964"/>
      <c r="QKW3" s="964"/>
      <c r="QKX3" s="964"/>
      <c r="QKY3" s="964"/>
      <c r="QKZ3" s="964"/>
      <c r="QLA3" s="964"/>
      <c r="QLB3" s="964"/>
      <c r="QLC3" s="964"/>
      <c r="QLD3" s="964"/>
      <c r="QLE3" s="964"/>
      <c r="QLF3" s="964"/>
      <c r="QLG3" s="964"/>
      <c r="QLH3" s="964"/>
      <c r="QLI3" s="964"/>
      <c r="QLJ3" s="964"/>
      <c r="QLK3" s="964"/>
      <c r="QLL3" s="964"/>
      <c r="QLM3" s="964"/>
      <c r="QLN3" s="964"/>
      <c r="QLO3" s="964"/>
      <c r="QLP3" s="964"/>
      <c r="QLQ3" s="964"/>
      <c r="QLR3" s="964"/>
      <c r="QLS3" s="964"/>
      <c r="QLT3" s="964"/>
      <c r="QLU3" s="964"/>
      <c r="QLV3" s="964"/>
      <c r="QLW3" s="964"/>
      <c r="QLX3" s="964"/>
      <c r="QLY3" s="964"/>
      <c r="QLZ3" s="964"/>
      <c r="QMA3" s="964"/>
      <c r="QMB3" s="964"/>
      <c r="QMC3" s="964"/>
      <c r="QMD3" s="964"/>
      <c r="QME3" s="964"/>
      <c r="QMF3" s="964"/>
      <c r="QMG3" s="964"/>
      <c r="QMH3" s="964"/>
      <c r="QMI3" s="964"/>
      <c r="QMJ3" s="964"/>
      <c r="QMK3" s="964"/>
      <c r="QML3" s="964"/>
      <c r="QMM3" s="964"/>
      <c r="QMN3" s="964"/>
      <c r="QMO3" s="964"/>
      <c r="QMP3" s="964"/>
      <c r="QMQ3" s="964"/>
      <c r="QMR3" s="964"/>
      <c r="QMS3" s="964"/>
      <c r="QMT3" s="964"/>
      <c r="QMU3" s="964"/>
      <c r="QMV3" s="964"/>
      <c r="QMW3" s="964"/>
      <c r="QMX3" s="964"/>
      <c r="QMY3" s="964"/>
      <c r="QMZ3" s="964"/>
      <c r="QNA3" s="964"/>
      <c r="QNB3" s="964"/>
      <c r="QNC3" s="964"/>
      <c r="QND3" s="964"/>
      <c r="QNE3" s="964"/>
      <c r="QNF3" s="964"/>
      <c r="QNG3" s="964"/>
      <c r="QNH3" s="964"/>
      <c r="QNI3" s="964"/>
      <c r="QNJ3" s="964"/>
      <c r="QNK3" s="964"/>
      <c r="QNL3" s="964"/>
      <c r="QNM3" s="964"/>
      <c r="QNN3" s="964"/>
      <c r="QNO3" s="964"/>
      <c r="QNP3" s="964"/>
      <c r="QNQ3" s="964"/>
      <c r="QNR3" s="964"/>
      <c r="QNS3" s="964"/>
      <c r="QNT3" s="964"/>
      <c r="QNU3" s="964"/>
      <c r="QNV3" s="964"/>
      <c r="QNW3" s="964"/>
      <c r="QNX3" s="964"/>
      <c r="QNY3" s="964"/>
      <c r="QNZ3" s="964"/>
      <c r="QOA3" s="964"/>
      <c r="QOB3" s="964"/>
      <c r="QOC3" s="964"/>
      <c r="QOD3" s="964"/>
      <c r="QOE3" s="964"/>
      <c r="QOF3" s="964"/>
      <c r="QOG3" s="964"/>
      <c r="QOH3" s="964"/>
      <c r="QOI3" s="964"/>
      <c r="QOJ3" s="964"/>
      <c r="QOK3" s="964"/>
      <c r="QOL3" s="964"/>
      <c r="QOM3" s="964"/>
      <c r="QON3" s="964"/>
      <c r="QOO3" s="964"/>
      <c r="QOP3" s="964"/>
      <c r="QOQ3" s="964"/>
      <c r="QOR3" s="964"/>
      <c r="QOS3" s="964"/>
      <c r="QOT3" s="964"/>
      <c r="QOU3" s="964"/>
      <c r="QOV3" s="964"/>
      <c r="QOW3" s="964"/>
      <c r="QOX3" s="964"/>
      <c r="QOY3" s="964"/>
      <c r="QOZ3" s="964"/>
      <c r="QPA3" s="964"/>
      <c r="QPB3" s="964"/>
      <c r="QPC3" s="964"/>
      <c r="QPD3" s="964"/>
      <c r="QPE3" s="964"/>
      <c r="QPF3" s="964"/>
      <c r="QPG3" s="964"/>
      <c r="QPH3" s="964"/>
      <c r="QPI3" s="964"/>
      <c r="QPJ3" s="964"/>
      <c r="QPK3" s="964"/>
      <c r="QPL3" s="964"/>
      <c r="QPM3" s="964"/>
      <c r="QPN3" s="964"/>
      <c r="QPO3" s="964"/>
      <c r="QPP3" s="964"/>
      <c r="QPQ3" s="964"/>
      <c r="QPR3" s="964"/>
      <c r="QPS3" s="964"/>
      <c r="QPT3" s="964"/>
      <c r="QPU3" s="964"/>
      <c r="QPV3" s="964"/>
      <c r="QPW3" s="964"/>
      <c r="QPX3" s="964"/>
      <c r="QPY3" s="964"/>
      <c r="QPZ3" s="964"/>
      <c r="QQA3" s="964"/>
      <c r="QQB3" s="964"/>
      <c r="QQC3" s="964"/>
      <c r="QQD3" s="964"/>
      <c r="QQE3" s="964"/>
      <c r="QQF3" s="964"/>
      <c r="QQG3" s="964"/>
      <c r="QQH3" s="964"/>
      <c r="QQI3" s="964"/>
      <c r="QQJ3" s="964"/>
      <c r="QQK3" s="964"/>
      <c r="QQL3" s="964"/>
      <c r="QQM3" s="964"/>
      <c r="QQN3" s="964"/>
      <c r="QQO3" s="964"/>
      <c r="QQP3" s="964"/>
      <c r="QQQ3" s="964"/>
      <c r="QQR3" s="964"/>
      <c r="QQS3" s="964"/>
      <c r="QQT3" s="964"/>
      <c r="QQU3" s="964"/>
      <c r="QQV3" s="964"/>
      <c r="QQW3" s="964"/>
      <c r="QQX3" s="964"/>
      <c r="QQY3" s="964"/>
      <c r="QQZ3" s="964"/>
      <c r="QRA3" s="964"/>
      <c r="QRB3" s="964"/>
      <c r="QRC3" s="964"/>
      <c r="QRD3" s="964"/>
      <c r="QRE3" s="964"/>
      <c r="QRF3" s="964"/>
      <c r="QRG3" s="964"/>
      <c r="QRH3" s="964"/>
      <c r="QRI3" s="964"/>
      <c r="QRJ3" s="964"/>
      <c r="QRK3" s="964"/>
      <c r="QRL3" s="964"/>
      <c r="QRM3" s="964"/>
      <c r="QRN3" s="964"/>
      <c r="QRO3" s="964"/>
      <c r="QRP3" s="964"/>
      <c r="QRQ3" s="964"/>
      <c r="QRR3" s="964"/>
      <c r="QRS3" s="964"/>
      <c r="QRT3" s="964"/>
      <c r="QRU3" s="964"/>
      <c r="QRV3" s="964"/>
      <c r="QRW3" s="964"/>
      <c r="QRX3" s="964"/>
      <c r="QRY3" s="964"/>
      <c r="QRZ3" s="964"/>
      <c r="QSA3" s="964"/>
      <c r="QSB3" s="964"/>
      <c r="QSC3" s="964"/>
      <c r="QSD3" s="964"/>
      <c r="QSE3" s="964"/>
      <c r="QSF3" s="964"/>
      <c r="QSG3" s="964"/>
      <c r="QSH3" s="964"/>
      <c r="QSI3" s="964"/>
      <c r="QSJ3" s="964"/>
      <c r="QSK3" s="964"/>
      <c r="QSL3" s="964"/>
      <c r="QSM3" s="964"/>
      <c r="QSN3" s="964"/>
      <c r="QSO3" s="964"/>
      <c r="QSP3" s="964"/>
      <c r="QSQ3" s="964"/>
      <c r="QSR3" s="964"/>
      <c r="QSS3" s="964"/>
      <c r="QST3" s="964"/>
      <c r="QSU3" s="964"/>
      <c r="QSV3" s="964"/>
      <c r="QSW3" s="964"/>
      <c r="QSX3" s="964"/>
      <c r="QSY3" s="964"/>
      <c r="QSZ3" s="964"/>
      <c r="QTA3" s="964"/>
      <c r="QTB3" s="964"/>
      <c r="QTC3" s="964"/>
      <c r="QTD3" s="964"/>
      <c r="QTE3" s="964"/>
      <c r="QTF3" s="964"/>
      <c r="QTG3" s="964"/>
      <c r="QTH3" s="964"/>
      <c r="QTI3" s="964"/>
      <c r="QTJ3" s="964"/>
      <c r="QTK3" s="964"/>
      <c r="QTL3" s="964"/>
      <c r="QTM3" s="964"/>
      <c r="QTN3" s="964"/>
      <c r="QTO3" s="964"/>
      <c r="QTP3" s="964"/>
      <c r="QTQ3" s="964"/>
      <c r="QTR3" s="964"/>
      <c r="QTS3" s="964"/>
      <c r="QTT3" s="964"/>
      <c r="QTU3" s="964"/>
      <c r="QTV3" s="964"/>
      <c r="QTW3" s="964"/>
      <c r="QTX3" s="964"/>
      <c r="QTY3" s="964"/>
      <c r="QTZ3" s="964"/>
      <c r="QUA3" s="964"/>
      <c r="QUB3" s="964"/>
      <c r="QUC3" s="964"/>
      <c r="QUD3" s="964"/>
      <c r="QUE3" s="964"/>
      <c r="QUF3" s="964"/>
      <c r="QUG3" s="964"/>
      <c r="QUH3" s="964"/>
      <c r="QUI3" s="964"/>
      <c r="QUJ3" s="964"/>
      <c r="QUK3" s="964"/>
      <c r="QUL3" s="964"/>
      <c r="QUM3" s="964"/>
      <c r="QUN3" s="964"/>
      <c r="QUO3" s="964"/>
      <c r="QUP3" s="964"/>
      <c r="QUQ3" s="964"/>
      <c r="QUR3" s="964"/>
      <c r="QUS3" s="964"/>
      <c r="QUT3" s="964"/>
      <c r="QUU3" s="964"/>
      <c r="QUV3" s="964"/>
      <c r="QUW3" s="964"/>
      <c r="QUX3" s="964"/>
      <c r="QUY3" s="964"/>
      <c r="QUZ3" s="964"/>
      <c r="QVA3" s="964"/>
      <c r="QVB3" s="964"/>
      <c r="QVC3" s="964"/>
      <c r="QVD3" s="964"/>
      <c r="QVE3" s="964"/>
      <c r="QVF3" s="964"/>
      <c r="QVG3" s="964"/>
      <c r="QVH3" s="964"/>
      <c r="QVI3" s="964"/>
      <c r="QVJ3" s="964"/>
      <c r="QVK3" s="964"/>
      <c r="QVL3" s="964"/>
      <c r="QVM3" s="964"/>
      <c r="QVN3" s="964"/>
      <c r="QVO3" s="964"/>
      <c r="QVP3" s="964"/>
      <c r="QVQ3" s="964"/>
      <c r="QVR3" s="964"/>
      <c r="QVS3" s="964"/>
      <c r="QVT3" s="964"/>
      <c r="QVU3" s="964"/>
      <c r="QVV3" s="964"/>
      <c r="QVW3" s="964"/>
      <c r="QVX3" s="964"/>
      <c r="QVY3" s="964"/>
      <c r="QVZ3" s="964"/>
      <c r="QWA3" s="964"/>
      <c r="QWB3" s="964"/>
      <c r="QWC3" s="964"/>
      <c r="QWD3" s="964"/>
      <c r="QWE3" s="964"/>
      <c r="QWF3" s="964"/>
      <c r="QWG3" s="964"/>
      <c r="QWH3" s="964"/>
      <c r="QWI3" s="964"/>
      <c r="QWJ3" s="964"/>
      <c r="QWK3" s="964"/>
      <c r="QWL3" s="964"/>
      <c r="QWM3" s="964"/>
      <c r="QWN3" s="964"/>
      <c r="QWO3" s="964"/>
      <c r="QWP3" s="964"/>
      <c r="QWQ3" s="964"/>
      <c r="QWR3" s="964"/>
      <c r="QWS3" s="964"/>
      <c r="QWT3" s="964"/>
      <c r="QWU3" s="964"/>
      <c r="QWV3" s="964"/>
      <c r="QWW3" s="964"/>
      <c r="QWX3" s="964"/>
      <c r="QWY3" s="964"/>
      <c r="QWZ3" s="964"/>
      <c r="QXA3" s="964"/>
      <c r="QXB3" s="964"/>
      <c r="QXC3" s="964"/>
      <c r="QXD3" s="964"/>
      <c r="QXE3" s="964"/>
      <c r="QXF3" s="964"/>
      <c r="QXG3" s="964"/>
      <c r="QXH3" s="964"/>
      <c r="QXI3" s="964"/>
      <c r="QXJ3" s="964"/>
      <c r="QXK3" s="964"/>
      <c r="QXL3" s="964"/>
      <c r="QXM3" s="964"/>
      <c r="QXN3" s="964"/>
      <c r="QXO3" s="964"/>
      <c r="QXP3" s="964"/>
      <c r="QXQ3" s="964"/>
      <c r="QXR3" s="964"/>
      <c r="QXS3" s="964"/>
      <c r="QXT3" s="964"/>
      <c r="QXU3" s="964"/>
      <c r="QXV3" s="964"/>
      <c r="QXW3" s="964"/>
      <c r="QXX3" s="964"/>
      <c r="QXY3" s="964"/>
      <c r="QXZ3" s="964"/>
      <c r="QYA3" s="964"/>
      <c r="QYB3" s="964"/>
      <c r="QYC3" s="964"/>
      <c r="QYD3" s="964"/>
      <c r="QYE3" s="964"/>
      <c r="QYF3" s="964"/>
      <c r="QYG3" s="964"/>
      <c r="QYH3" s="964"/>
      <c r="QYI3" s="964"/>
      <c r="QYJ3" s="964"/>
      <c r="QYK3" s="964"/>
      <c r="QYL3" s="964"/>
      <c r="QYM3" s="964"/>
      <c r="QYN3" s="964"/>
      <c r="QYO3" s="964"/>
      <c r="QYP3" s="964"/>
      <c r="QYQ3" s="964"/>
      <c r="QYR3" s="964"/>
      <c r="QYS3" s="964"/>
      <c r="QYT3" s="964"/>
      <c r="QYU3" s="964"/>
      <c r="QYV3" s="964"/>
      <c r="QYW3" s="964"/>
      <c r="QYX3" s="964"/>
      <c r="QYY3" s="964"/>
      <c r="QYZ3" s="964"/>
      <c r="QZA3" s="964"/>
      <c r="QZB3" s="964"/>
      <c r="QZC3" s="964"/>
      <c r="QZD3" s="964"/>
      <c r="QZE3" s="964"/>
      <c r="QZF3" s="964"/>
      <c r="QZG3" s="964"/>
      <c r="QZH3" s="964"/>
      <c r="QZI3" s="964"/>
      <c r="QZJ3" s="964"/>
      <c r="QZK3" s="964"/>
      <c r="QZL3" s="964"/>
      <c r="QZM3" s="964"/>
      <c r="QZN3" s="964"/>
      <c r="QZO3" s="964"/>
      <c r="QZP3" s="964"/>
      <c r="QZQ3" s="964"/>
      <c r="QZR3" s="964"/>
      <c r="QZS3" s="964"/>
      <c r="QZT3" s="964"/>
      <c r="QZU3" s="964"/>
      <c r="QZV3" s="964"/>
      <c r="QZW3" s="964"/>
      <c r="QZX3" s="964"/>
      <c r="QZY3" s="964"/>
      <c r="QZZ3" s="964"/>
      <c r="RAA3" s="964"/>
      <c r="RAB3" s="964"/>
      <c r="RAC3" s="964"/>
      <c r="RAD3" s="964"/>
      <c r="RAE3" s="964"/>
      <c r="RAF3" s="964"/>
      <c r="RAG3" s="964"/>
      <c r="RAH3" s="964"/>
      <c r="RAI3" s="964"/>
      <c r="RAJ3" s="964"/>
      <c r="RAK3" s="964"/>
      <c r="RAL3" s="964"/>
      <c r="RAM3" s="964"/>
      <c r="RAN3" s="964"/>
      <c r="RAO3" s="964"/>
      <c r="RAP3" s="964"/>
      <c r="RAQ3" s="964"/>
      <c r="RAR3" s="964"/>
      <c r="RAS3" s="964"/>
      <c r="RAT3" s="964"/>
      <c r="RAU3" s="964"/>
      <c r="RAV3" s="964"/>
      <c r="RAW3" s="964"/>
      <c r="RAX3" s="964"/>
      <c r="RAY3" s="964"/>
      <c r="RAZ3" s="964"/>
      <c r="RBA3" s="964"/>
      <c r="RBB3" s="964"/>
      <c r="RBC3" s="964"/>
      <c r="RBD3" s="964"/>
      <c r="RBE3" s="964"/>
      <c r="RBF3" s="964"/>
      <c r="RBG3" s="964"/>
      <c r="RBH3" s="964"/>
      <c r="RBI3" s="964"/>
      <c r="RBJ3" s="964"/>
      <c r="RBK3" s="964"/>
      <c r="RBL3" s="964"/>
      <c r="RBM3" s="964"/>
      <c r="RBN3" s="964"/>
      <c r="RBO3" s="964"/>
      <c r="RBP3" s="964"/>
      <c r="RBQ3" s="964"/>
      <c r="RBR3" s="964"/>
      <c r="RBS3" s="964"/>
      <c r="RBT3" s="964"/>
      <c r="RBU3" s="964"/>
      <c r="RBV3" s="964"/>
      <c r="RBW3" s="964"/>
      <c r="RBX3" s="964"/>
      <c r="RBY3" s="964"/>
      <c r="RBZ3" s="964"/>
      <c r="RCA3" s="964"/>
      <c r="RCB3" s="964"/>
      <c r="RCC3" s="964"/>
      <c r="RCD3" s="964"/>
      <c r="RCE3" s="964"/>
      <c r="RCF3" s="964"/>
      <c r="RCG3" s="964"/>
      <c r="RCH3" s="964"/>
      <c r="RCI3" s="964"/>
      <c r="RCJ3" s="964"/>
      <c r="RCK3" s="964"/>
      <c r="RCL3" s="964"/>
      <c r="RCM3" s="964"/>
      <c r="RCN3" s="964"/>
      <c r="RCO3" s="964"/>
      <c r="RCP3" s="964"/>
      <c r="RCQ3" s="964"/>
      <c r="RCR3" s="964"/>
      <c r="RCS3" s="964"/>
      <c r="RCT3" s="964"/>
      <c r="RCU3" s="964"/>
      <c r="RCV3" s="964"/>
      <c r="RCW3" s="964"/>
      <c r="RCX3" s="964"/>
      <c r="RCY3" s="964"/>
      <c r="RCZ3" s="964"/>
      <c r="RDA3" s="964"/>
      <c r="RDB3" s="964"/>
      <c r="RDC3" s="964"/>
      <c r="RDD3" s="964"/>
      <c r="RDE3" s="964"/>
      <c r="RDF3" s="964"/>
      <c r="RDG3" s="964"/>
      <c r="RDH3" s="964"/>
      <c r="RDI3" s="964"/>
      <c r="RDJ3" s="964"/>
      <c r="RDK3" s="964"/>
      <c r="RDL3" s="964"/>
      <c r="RDM3" s="964"/>
      <c r="RDN3" s="964"/>
      <c r="RDO3" s="964"/>
      <c r="RDP3" s="964"/>
      <c r="RDQ3" s="964"/>
      <c r="RDR3" s="964"/>
      <c r="RDS3" s="964"/>
      <c r="RDT3" s="964"/>
      <c r="RDU3" s="964"/>
      <c r="RDV3" s="964"/>
      <c r="RDW3" s="964"/>
      <c r="RDX3" s="964"/>
      <c r="RDY3" s="964"/>
      <c r="RDZ3" s="964"/>
      <c r="REA3" s="964"/>
      <c r="REB3" s="964"/>
      <c r="REC3" s="964"/>
      <c r="RED3" s="964"/>
      <c r="REE3" s="964"/>
      <c r="REF3" s="964"/>
      <c r="REG3" s="964"/>
      <c r="REH3" s="964"/>
      <c r="REI3" s="964"/>
      <c r="REJ3" s="964"/>
      <c r="REK3" s="964"/>
      <c r="REL3" s="964"/>
      <c r="REM3" s="964"/>
      <c r="REN3" s="964"/>
      <c r="REO3" s="964"/>
      <c r="REP3" s="964"/>
      <c r="REQ3" s="964"/>
      <c r="RER3" s="964"/>
      <c r="RES3" s="964"/>
      <c r="RET3" s="964"/>
      <c r="REU3" s="964"/>
      <c r="REV3" s="964"/>
      <c r="REW3" s="964"/>
      <c r="REX3" s="964"/>
      <c r="REY3" s="964"/>
      <c r="REZ3" s="964"/>
      <c r="RFA3" s="964"/>
      <c r="RFB3" s="964"/>
      <c r="RFC3" s="964"/>
      <c r="RFD3" s="964"/>
      <c r="RFE3" s="964"/>
      <c r="RFF3" s="964"/>
      <c r="RFG3" s="964"/>
      <c r="RFH3" s="964"/>
      <c r="RFI3" s="964"/>
      <c r="RFJ3" s="964"/>
      <c r="RFK3" s="964"/>
      <c r="RFL3" s="964"/>
      <c r="RFM3" s="964"/>
      <c r="RFN3" s="964"/>
      <c r="RFO3" s="964"/>
      <c r="RFP3" s="964"/>
      <c r="RFQ3" s="964"/>
      <c r="RFR3" s="964"/>
      <c r="RFS3" s="964"/>
      <c r="RFT3" s="964"/>
      <c r="RFU3" s="964"/>
      <c r="RFV3" s="964"/>
      <c r="RFW3" s="964"/>
      <c r="RFX3" s="964"/>
      <c r="RFY3" s="964"/>
      <c r="RFZ3" s="964"/>
      <c r="RGA3" s="964"/>
      <c r="RGB3" s="964"/>
      <c r="RGC3" s="964"/>
      <c r="RGD3" s="964"/>
      <c r="RGE3" s="964"/>
      <c r="RGF3" s="964"/>
      <c r="RGG3" s="964"/>
      <c r="RGH3" s="964"/>
      <c r="RGI3" s="964"/>
      <c r="RGJ3" s="964"/>
      <c r="RGK3" s="964"/>
      <c r="RGL3" s="964"/>
      <c r="RGM3" s="964"/>
      <c r="RGN3" s="964"/>
      <c r="RGO3" s="964"/>
      <c r="RGP3" s="964"/>
      <c r="RGQ3" s="964"/>
      <c r="RGR3" s="964"/>
      <c r="RGS3" s="964"/>
      <c r="RGT3" s="964"/>
      <c r="RGU3" s="964"/>
      <c r="RGV3" s="964"/>
      <c r="RGW3" s="964"/>
      <c r="RGX3" s="964"/>
      <c r="RGY3" s="964"/>
      <c r="RGZ3" s="964"/>
      <c r="RHA3" s="964"/>
      <c r="RHB3" s="964"/>
      <c r="RHC3" s="964"/>
      <c r="RHD3" s="964"/>
      <c r="RHE3" s="964"/>
      <c r="RHF3" s="964"/>
      <c r="RHG3" s="964"/>
      <c r="RHH3" s="964"/>
      <c r="RHI3" s="964"/>
      <c r="RHJ3" s="964"/>
      <c r="RHK3" s="964"/>
      <c r="RHL3" s="964"/>
      <c r="RHM3" s="964"/>
      <c r="RHN3" s="964"/>
      <c r="RHO3" s="964"/>
      <c r="RHP3" s="964"/>
      <c r="RHQ3" s="964"/>
      <c r="RHR3" s="964"/>
      <c r="RHS3" s="964"/>
      <c r="RHT3" s="964"/>
      <c r="RHU3" s="964"/>
      <c r="RHV3" s="964"/>
      <c r="RHW3" s="964"/>
      <c r="RHX3" s="964"/>
      <c r="RHY3" s="964"/>
      <c r="RHZ3" s="964"/>
      <c r="RIA3" s="964"/>
      <c r="RIB3" s="964"/>
      <c r="RIC3" s="964"/>
      <c r="RID3" s="964"/>
      <c r="RIE3" s="964"/>
      <c r="RIF3" s="964"/>
      <c r="RIG3" s="964"/>
      <c r="RIH3" s="964"/>
      <c r="RII3" s="964"/>
      <c r="RIJ3" s="964"/>
      <c r="RIK3" s="964"/>
      <c r="RIL3" s="964"/>
      <c r="RIM3" s="964"/>
      <c r="RIN3" s="964"/>
      <c r="RIO3" s="964"/>
      <c r="RIP3" s="964"/>
      <c r="RIQ3" s="964"/>
      <c r="RIR3" s="964"/>
      <c r="RIS3" s="964"/>
      <c r="RIT3" s="964"/>
      <c r="RIU3" s="964"/>
      <c r="RIV3" s="964"/>
      <c r="RIW3" s="964"/>
      <c r="RIX3" s="964"/>
      <c r="RIY3" s="964"/>
      <c r="RIZ3" s="964"/>
      <c r="RJA3" s="964"/>
      <c r="RJB3" s="964"/>
      <c r="RJC3" s="964"/>
      <c r="RJD3" s="964"/>
      <c r="RJE3" s="964"/>
      <c r="RJF3" s="964"/>
      <c r="RJG3" s="964"/>
      <c r="RJH3" s="964"/>
      <c r="RJI3" s="964"/>
      <c r="RJJ3" s="964"/>
      <c r="RJK3" s="964"/>
      <c r="RJL3" s="964"/>
      <c r="RJM3" s="964"/>
      <c r="RJN3" s="964"/>
      <c r="RJO3" s="964"/>
      <c r="RJP3" s="964"/>
      <c r="RJQ3" s="964"/>
      <c r="RJR3" s="964"/>
      <c r="RJS3" s="964"/>
      <c r="RJT3" s="964"/>
      <c r="RJU3" s="964"/>
      <c r="RJV3" s="964"/>
      <c r="RJW3" s="964"/>
      <c r="RJX3" s="964"/>
      <c r="RJY3" s="964"/>
      <c r="RJZ3" s="964"/>
      <c r="RKA3" s="964"/>
      <c r="RKB3" s="964"/>
      <c r="RKC3" s="964"/>
      <c r="RKD3" s="964"/>
      <c r="RKE3" s="964"/>
      <c r="RKF3" s="964"/>
      <c r="RKG3" s="964"/>
      <c r="RKH3" s="964"/>
      <c r="RKI3" s="964"/>
      <c r="RKJ3" s="964"/>
      <c r="RKK3" s="964"/>
      <c r="RKL3" s="964"/>
      <c r="RKM3" s="964"/>
      <c r="RKN3" s="964"/>
      <c r="RKO3" s="964"/>
      <c r="RKP3" s="964"/>
      <c r="RKQ3" s="964"/>
      <c r="RKR3" s="964"/>
      <c r="RKS3" s="964"/>
      <c r="RKT3" s="964"/>
      <c r="RKU3" s="964"/>
      <c r="RKV3" s="964"/>
      <c r="RKW3" s="964"/>
      <c r="RKX3" s="964"/>
      <c r="RKY3" s="964"/>
      <c r="RKZ3" s="964"/>
      <c r="RLA3" s="964"/>
      <c r="RLB3" s="964"/>
      <c r="RLC3" s="964"/>
      <c r="RLD3" s="964"/>
      <c r="RLE3" s="964"/>
      <c r="RLF3" s="964"/>
      <c r="RLG3" s="964"/>
      <c r="RLH3" s="964"/>
      <c r="RLI3" s="964"/>
      <c r="RLJ3" s="964"/>
      <c r="RLK3" s="964"/>
      <c r="RLL3" s="964"/>
      <c r="RLM3" s="964"/>
      <c r="RLN3" s="964"/>
      <c r="RLO3" s="964"/>
      <c r="RLP3" s="964"/>
      <c r="RLQ3" s="964"/>
      <c r="RLR3" s="964"/>
      <c r="RLS3" s="964"/>
      <c r="RLT3" s="964"/>
      <c r="RLU3" s="964"/>
      <c r="RLV3" s="964"/>
      <c r="RLW3" s="964"/>
      <c r="RLX3" s="964"/>
      <c r="RLY3" s="964"/>
      <c r="RLZ3" s="964"/>
      <c r="RMA3" s="964"/>
      <c r="RMB3" s="964"/>
      <c r="RMC3" s="964"/>
      <c r="RMD3" s="964"/>
      <c r="RME3" s="964"/>
      <c r="RMF3" s="964"/>
      <c r="RMG3" s="964"/>
      <c r="RMH3" s="964"/>
      <c r="RMI3" s="964"/>
      <c r="RMJ3" s="964"/>
      <c r="RMK3" s="964"/>
      <c r="RML3" s="964"/>
      <c r="RMM3" s="964"/>
      <c r="RMN3" s="964"/>
      <c r="RMO3" s="964"/>
      <c r="RMP3" s="964"/>
      <c r="RMQ3" s="964"/>
      <c r="RMR3" s="964"/>
      <c r="RMS3" s="964"/>
      <c r="RMT3" s="964"/>
      <c r="RMU3" s="964"/>
      <c r="RMV3" s="964"/>
      <c r="RMW3" s="964"/>
      <c r="RMX3" s="964"/>
      <c r="RMY3" s="964"/>
      <c r="RMZ3" s="964"/>
      <c r="RNA3" s="964"/>
      <c r="RNB3" s="964"/>
      <c r="RNC3" s="964"/>
      <c r="RND3" s="964"/>
      <c r="RNE3" s="964"/>
      <c r="RNF3" s="964"/>
      <c r="RNG3" s="964"/>
      <c r="RNH3" s="964"/>
      <c r="RNI3" s="964"/>
      <c r="RNJ3" s="964"/>
      <c r="RNK3" s="964"/>
      <c r="RNL3" s="964"/>
      <c r="RNM3" s="964"/>
      <c r="RNN3" s="964"/>
      <c r="RNO3" s="964"/>
      <c r="RNP3" s="964"/>
      <c r="RNQ3" s="964"/>
      <c r="RNR3" s="964"/>
      <c r="RNS3" s="964"/>
      <c r="RNT3" s="964"/>
      <c r="RNU3" s="964"/>
      <c r="RNV3" s="964"/>
      <c r="RNW3" s="964"/>
      <c r="RNX3" s="964"/>
      <c r="RNY3" s="964"/>
      <c r="RNZ3" s="964"/>
      <c r="ROA3" s="964"/>
      <c r="ROB3" s="964"/>
      <c r="ROC3" s="964"/>
      <c r="ROD3" s="964"/>
      <c r="ROE3" s="964"/>
      <c r="ROF3" s="964"/>
      <c r="ROG3" s="964"/>
      <c r="ROH3" s="964"/>
      <c r="ROI3" s="964"/>
      <c r="ROJ3" s="964"/>
      <c r="ROK3" s="964"/>
      <c r="ROL3" s="964"/>
      <c r="ROM3" s="964"/>
      <c r="RON3" s="964"/>
      <c r="ROO3" s="964"/>
      <c r="ROP3" s="964"/>
      <c r="ROQ3" s="964"/>
      <c r="ROR3" s="964"/>
      <c r="ROS3" s="964"/>
      <c r="ROT3" s="964"/>
      <c r="ROU3" s="964"/>
      <c r="ROV3" s="964"/>
      <c r="ROW3" s="964"/>
      <c r="ROX3" s="964"/>
      <c r="ROY3" s="964"/>
      <c r="ROZ3" s="964"/>
      <c r="RPA3" s="964"/>
      <c r="RPB3" s="964"/>
      <c r="RPC3" s="964"/>
      <c r="RPD3" s="964"/>
      <c r="RPE3" s="964"/>
      <c r="RPF3" s="964"/>
      <c r="RPG3" s="964"/>
      <c r="RPH3" s="964"/>
      <c r="RPI3" s="964"/>
      <c r="RPJ3" s="964"/>
      <c r="RPK3" s="964"/>
      <c r="RPL3" s="964"/>
      <c r="RPM3" s="964"/>
      <c r="RPN3" s="964"/>
      <c r="RPO3" s="964"/>
      <c r="RPP3" s="964"/>
      <c r="RPQ3" s="964"/>
      <c r="RPR3" s="964"/>
      <c r="RPS3" s="964"/>
      <c r="RPT3" s="964"/>
      <c r="RPU3" s="964"/>
      <c r="RPV3" s="964"/>
      <c r="RPW3" s="964"/>
      <c r="RPX3" s="964"/>
      <c r="RPY3" s="964"/>
      <c r="RPZ3" s="964"/>
      <c r="RQA3" s="964"/>
      <c r="RQB3" s="964"/>
      <c r="RQC3" s="964"/>
      <c r="RQD3" s="964"/>
      <c r="RQE3" s="964"/>
      <c r="RQF3" s="964"/>
      <c r="RQG3" s="964"/>
      <c r="RQH3" s="964"/>
      <c r="RQI3" s="964"/>
      <c r="RQJ3" s="964"/>
      <c r="RQK3" s="964"/>
      <c r="RQL3" s="964"/>
      <c r="RQM3" s="964"/>
      <c r="RQN3" s="964"/>
      <c r="RQO3" s="964"/>
      <c r="RQP3" s="964"/>
      <c r="RQQ3" s="964"/>
      <c r="RQR3" s="964"/>
      <c r="RQS3" s="964"/>
      <c r="RQT3" s="964"/>
      <c r="RQU3" s="964"/>
      <c r="RQV3" s="964"/>
      <c r="RQW3" s="964"/>
      <c r="RQX3" s="964"/>
      <c r="RQY3" s="964"/>
      <c r="RQZ3" s="964"/>
      <c r="RRA3" s="964"/>
      <c r="RRB3" s="964"/>
      <c r="RRC3" s="964"/>
      <c r="RRD3" s="964"/>
      <c r="RRE3" s="964"/>
      <c r="RRF3" s="964"/>
      <c r="RRG3" s="964"/>
      <c r="RRH3" s="964"/>
      <c r="RRI3" s="964"/>
      <c r="RRJ3" s="964"/>
      <c r="RRK3" s="964"/>
      <c r="RRL3" s="964"/>
      <c r="RRM3" s="964"/>
      <c r="RRN3" s="964"/>
      <c r="RRO3" s="964"/>
      <c r="RRP3" s="964"/>
      <c r="RRQ3" s="964"/>
      <c r="RRR3" s="964"/>
      <c r="RRS3" s="964"/>
      <c r="RRT3" s="964"/>
      <c r="RRU3" s="964"/>
      <c r="RRV3" s="964"/>
      <c r="RRW3" s="964"/>
      <c r="RRX3" s="964"/>
      <c r="RRY3" s="964"/>
      <c r="RRZ3" s="964"/>
      <c r="RSA3" s="964"/>
      <c r="RSB3" s="964"/>
      <c r="RSC3" s="964"/>
      <c r="RSD3" s="964"/>
      <c r="RSE3" s="964"/>
      <c r="RSF3" s="964"/>
      <c r="RSG3" s="964"/>
      <c r="RSH3" s="964"/>
      <c r="RSI3" s="964"/>
      <c r="RSJ3" s="964"/>
      <c r="RSK3" s="964"/>
      <c r="RSL3" s="964"/>
      <c r="RSM3" s="964"/>
      <c r="RSN3" s="964"/>
      <c r="RSO3" s="964"/>
      <c r="RSP3" s="964"/>
      <c r="RSQ3" s="964"/>
      <c r="RSR3" s="964"/>
      <c r="RSS3" s="964"/>
      <c r="RST3" s="964"/>
      <c r="RSU3" s="964"/>
      <c r="RSV3" s="964"/>
      <c r="RSW3" s="964"/>
      <c r="RSX3" s="964"/>
      <c r="RSY3" s="964"/>
      <c r="RSZ3" s="964"/>
      <c r="RTA3" s="964"/>
      <c r="RTB3" s="964"/>
      <c r="RTC3" s="964"/>
      <c r="RTD3" s="964"/>
      <c r="RTE3" s="964"/>
      <c r="RTF3" s="964"/>
      <c r="RTG3" s="964"/>
      <c r="RTH3" s="964"/>
      <c r="RTI3" s="964"/>
      <c r="RTJ3" s="964"/>
      <c r="RTK3" s="964"/>
      <c r="RTL3" s="964"/>
      <c r="RTM3" s="964"/>
      <c r="RTN3" s="964"/>
      <c r="RTO3" s="964"/>
      <c r="RTP3" s="964"/>
      <c r="RTQ3" s="964"/>
      <c r="RTR3" s="964"/>
      <c r="RTS3" s="964"/>
      <c r="RTT3" s="964"/>
      <c r="RTU3" s="964"/>
      <c r="RTV3" s="964"/>
      <c r="RTW3" s="964"/>
      <c r="RTX3" s="964"/>
      <c r="RTY3" s="964"/>
      <c r="RTZ3" s="964"/>
      <c r="RUA3" s="964"/>
      <c r="RUB3" s="964"/>
      <c r="RUC3" s="964"/>
      <c r="RUD3" s="964"/>
      <c r="RUE3" s="964"/>
      <c r="RUF3" s="964"/>
      <c r="RUG3" s="964"/>
      <c r="RUH3" s="964"/>
      <c r="RUI3" s="964"/>
      <c r="RUJ3" s="964"/>
      <c r="RUK3" s="964"/>
      <c r="RUL3" s="964"/>
      <c r="RUM3" s="964"/>
      <c r="RUN3" s="964"/>
      <c r="RUO3" s="964"/>
      <c r="RUP3" s="964"/>
      <c r="RUQ3" s="964"/>
      <c r="RUR3" s="964"/>
      <c r="RUS3" s="964"/>
      <c r="RUT3" s="964"/>
      <c r="RUU3" s="964"/>
      <c r="RUV3" s="964"/>
      <c r="RUW3" s="964"/>
      <c r="RUX3" s="964"/>
      <c r="RUY3" s="964"/>
      <c r="RUZ3" s="964"/>
      <c r="RVA3" s="964"/>
      <c r="RVB3" s="964"/>
      <c r="RVC3" s="964"/>
      <c r="RVD3" s="964"/>
      <c r="RVE3" s="964"/>
      <c r="RVF3" s="964"/>
      <c r="RVG3" s="964"/>
      <c r="RVH3" s="964"/>
      <c r="RVI3" s="964"/>
      <c r="RVJ3" s="964"/>
      <c r="RVK3" s="964"/>
      <c r="RVL3" s="964"/>
      <c r="RVM3" s="964"/>
      <c r="RVN3" s="964"/>
      <c r="RVO3" s="964"/>
      <c r="RVP3" s="964"/>
      <c r="RVQ3" s="964"/>
      <c r="RVR3" s="964"/>
      <c r="RVS3" s="964"/>
      <c r="RVT3" s="964"/>
      <c r="RVU3" s="964"/>
      <c r="RVV3" s="964"/>
      <c r="RVW3" s="964"/>
      <c r="RVX3" s="964"/>
      <c r="RVY3" s="964"/>
      <c r="RVZ3" s="964"/>
      <c r="RWA3" s="964"/>
      <c r="RWB3" s="964"/>
      <c r="RWC3" s="964"/>
      <c r="RWD3" s="964"/>
      <c r="RWE3" s="964"/>
      <c r="RWF3" s="964"/>
      <c r="RWG3" s="964"/>
      <c r="RWH3" s="964"/>
      <c r="RWI3" s="964"/>
      <c r="RWJ3" s="964"/>
      <c r="RWK3" s="964"/>
      <c r="RWL3" s="964"/>
      <c r="RWM3" s="964"/>
      <c r="RWN3" s="964"/>
      <c r="RWO3" s="964"/>
      <c r="RWP3" s="964"/>
      <c r="RWQ3" s="964"/>
      <c r="RWR3" s="964"/>
      <c r="RWS3" s="964"/>
      <c r="RWT3" s="964"/>
      <c r="RWU3" s="964"/>
      <c r="RWV3" s="964"/>
      <c r="RWW3" s="964"/>
      <c r="RWX3" s="964"/>
      <c r="RWY3" s="964"/>
      <c r="RWZ3" s="964"/>
      <c r="RXA3" s="964"/>
      <c r="RXB3" s="964"/>
      <c r="RXC3" s="964"/>
      <c r="RXD3" s="964"/>
      <c r="RXE3" s="964"/>
      <c r="RXF3" s="964"/>
      <c r="RXG3" s="964"/>
      <c r="RXH3" s="964"/>
      <c r="RXI3" s="964"/>
      <c r="RXJ3" s="964"/>
      <c r="RXK3" s="964"/>
      <c r="RXL3" s="964"/>
      <c r="RXM3" s="964"/>
      <c r="RXN3" s="964"/>
      <c r="RXO3" s="964"/>
      <c r="RXP3" s="964"/>
      <c r="RXQ3" s="964"/>
      <c r="RXR3" s="964"/>
      <c r="RXS3" s="964"/>
      <c r="RXT3" s="964"/>
      <c r="RXU3" s="964"/>
      <c r="RXV3" s="964"/>
      <c r="RXW3" s="964"/>
      <c r="RXX3" s="964"/>
      <c r="RXY3" s="964"/>
      <c r="RXZ3" s="964"/>
      <c r="RYA3" s="964"/>
      <c r="RYB3" s="964"/>
      <c r="RYC3" s="964"/>
      <c r="RYD3" s="964"/>
      <c r="RYE3" s="964"/>
      <c r="RYF3" s="964"/>
      <c r="RYG3" s="964"/>
      <c r="RYH3" s="964"/>
      <c r="RYI3" s="964"/>
      <c r="RYJ3" s="964"/>
      <c r="RYK3" s="964"/>
      <c r="RYL3" s="964"/>
      <c r="RYM3" s="964"/>
      <c r="RYN3" s="964"/>
      <c r="RYO3" s="964"/>
      <c r="RYP3" s="964"/>
      <c r="RYQ3" s="964"/>
      <c r="RYR3" s="964"/>
      <c r="RYS3" s="964"/>
      <c r="RYT3" s="964"/>
      <c r="RYU3" s="964"/>
      <c r="RYV3" s="964"/>
      <c r="RYW3" s="964"/>
      <c r="RYX3" s="964"/>
      <c r="RYY3" s="964"/>
      <c r="RYZ3" s="964"/>
      <c r="RZA3" s="964"/>
      <c r="RZB3" s="964"/>
      <c r="RZC3" s="964"/>
      <c r="RZD3" s="964"/>
      <c r="RZE3" s="964"/>
      <c r="RZF3" s="964"/>
      <c r="RZG3" s="964"/>
      <c r="RZH3" s="964"/>
      <c r="RZI3" s="964"/>
      <c r="RZJ3" s="964"/>
      <c r="RZK3" s="964"/>
      <c r="RZL3" s="964"/>
      <c r="RZM3" s="964"/>
      <c r="RZN3" s="964"/>
      <c r="RZO3" s="964"/>
      <c r="RZP3" s="964"/>
      <c r="RZQ3" s="964"/>
      <c r="RZR3" s="964"/>
      <c r="RZS3" s="964"/>
      <c r="RZT3" s="964"/>
      <c r="RZU3" s="964"/>
      <c r="RZV3" s="964"/>
      <c r="RZW3" s="964"/>
      <c r="RZX3" s="964"/>
      <c r="RZY3" s="964"/>
      <c r="RZZ3" s="964"/>
      <c r="SAA3" s="964"/>
      <c r="SAB3" s="964"/>
      <c r="SAC3" s="964"/>
      <c r="SAD3" s="964"/>
      <c r="SAE3" s="964"/>
      <c r="SAF3" s="964"/>
      <c r="SAG3" s="964"/>
      <c r="SAH3" s="964"/>
      <c r="SAI3" s="964"/>
      <c r="SAJ3" s="964"/>
      <c r="SAK3" s="964"/>
      <c r="SAL3" s="964"/>
      <c r="SAM3" s="964"/>
      <c r="SAN3" s="964"/>
      <c r="SAO3" s="964"/>
      <c r="SAP3" s="964"/>
      <c r="SAQ3" s="964"/>
      <c r="SAR3" s="964"/>
      <c r="SAS3" s="964"/>
      <c r="SAT3" s="964"/>
      <c r="SAU3" s="964"/>
      <c r="SAV3" s="964"/>
      <c r="SAW3" s="964"/>
      <c r="SAX3" s="964"/>
      <c r="SAY3" s="964"/>
      <c r="SAZ3" s="964"/>
      <c r="SBA3" s="964"/>
      <c r="SBB3" s="964"/>
      <c r="SBC3" s="964"/>
      <c r="SBD3" s="964"/>
      <c r="SBE3" s="964"/>
      <c r="SBF3" s="964"/>
      <c r="SBG3" s="964"/>
      <c r="SBH3" s="964"/>
      <c r="SBI3" s="964"/>
      <c r="SBJ3" s="964"/>
      <c r="SBK3" s="964"/>
      <c r="SBL3" s="964"/>
      <c r="SBM3" s="964"/>
      <c r="SBN3" s="964"/>
      <c r="SBO3" s="964"/>
      <c r="SBP3" s="964"/>
      <c r="SBQ3" s="964"/>
      <c r="SBR3" s="964"/>
      <c r="SBS3" s="964"/>
      <c r="SBT3" s="964"/>
      <c r="SBU3" s="964"/>
      <c r="SBV3" s="964"/>
      <c r="SBW3" s="964"/>
      <c r="SBX3" s="964"/>
      <c r="SBY3" s="964"/>
      <c r="SBZ3" s="964"/>
      <c r="SCA3" s="964"/>
      <c r="SCB3" s="964"/>
      <c r="SCC3" s="964"/>
      <c r="SCD3" s="964"/>
      <c r="SCE3" s="964"/>
      <c r="SCF3" s="964"/>
      <c r="SCG3" s="964"/>
      <c r="SCH3" s="964"/>
      <c r="SCI3" s="964"/>
      <c r="SCJ3" s="964"/>
      <c r="SCK3" s="964"/>
      <c r="SCL3" s="964"/>
      <c r="SCM3" s="964"/>
      <c r="SCN3" s="964"/>
      <c r="SCO3" s="964"/>
      <c r="SCP3" s="964"/>
      <c r="SCQ3" s="964"/>
      <c r="SCR3" s="964"/>
      <c r="SCS3" s="964"/>
      <c r="SCT3" s="964"/>
      <c r="SCU3" s="964"/>
      <c r="SCV3" s="964"/>
      <c r="SCW3" s="964"/>
      <c r="SCX3" s="964"/>
      <c r="SCY3" s="964"/>
      <c r="SCZ3" s="964"/>
      <c r="SDA3" s="964"/>
      <c r="SDB3" s="964"/>
      <c r="SDC3" s="964"/>
      <c r="SDD3" s="964"/>
      <c r="SDE3" s="964"/>
      <c r="SDF3" s="964"/>
      <c r="SDG3" s="964"/>
      <c r="SDH3" s="964"/>
      <c r="SDI3" s="964"/>
      <c r="SDJ3" s="964"/>
      <c r="SDK3" s="964"/>
      <c r="SDL3" s="964"/>
      <c r="SDM3" s="964"/>
      <c r="SDN3" s="964"/>
      <c r="SDO3" s="964"/>
      <c r="SDP3" s="964"/>
      <c r="SDQ3" s="964"/>
      <c r="SDR3" s="964"/>
      <c r="SDS3" s="964"/>
      <c r="SDT3" s="964"/>
      <c r="SDU3" s="964"/>
      <c r="SDV3" s="964"/>
      <c r="SDW3" s="964"/>
      <c r="SDX3" s="964"/>
      <c r="SDY3" s="964"/>
      <c r="SDZ3" s="964"/>
      <c r="SEA3" s="964"/>
      <c r="SEB3" s="964"/>
      <c r="SEC3" s="964"/>
      <c r="SED3" s="964"/>
      <c r="SEE3" s="964"/>
      <c r="SEF3" s="964"/>
      <c r="SEG3" s="964"/>
      <c r="SEH3" s="964"/>
      <c r="SEI3" s="964"/>
      <c r="SEJ3" s="964"/>
      <c r="SEK3" s="964"/>
      <c r="SEL3" s="964"/>
      <c r="SEM3" s="964"/>
      <c r="SEN3" s="964"/>
      <c r="SEO3" s="964"/>
      <c r="SEP3" s="964"/>
      <c r="SEQ3" s="964"/>
      <c r="SER3" s="964"/>
      <c r="SES3" s="964"/>
      <c r="SET3" s="964"/>
      <c r="SEU3" s="964"/>
      <c r="SEV3" s="964"/>
      <c r="SEW3" s="964"/>
      <c r="SEX3" s="964"/>
      <c r="SEY3" s="964"/>
      <c r="SEZ3" s="964"/>
      <c r="SFA3" s="964"/>
      <c r="SFB3" s="964"/>
      <c r="SFC3" s="964"/>
      <c r="SFD3" s="964"/>
      <c r="SFE3" s="964"/>
      <c r="SFF3" s="964"/>
      <c r="SFG3" s="964"/>
      <c r="SFH3" s="964"/>
      <c r="SFI3" s="964"/>
      <c r="SFJ3" s="964"/>
      <c r="SFK3" s="964"/>
      <c r="SFL3" s="964"/>
      <c r="SFM3" s="964"/>
      <c r="SFN3" s="964"/>
      <c r="SFO3" s="964"/>
      <c r="SFP3" s="964"/>
      <c r="SFQ3" s="964"/>
      <c r="SFR3" s="964"/>
      <c r="SFS3" s="964"/>
      <c r="SFT3" s="964"/>
      <c r="SFU3" s="964"/>
      <c r="SFV3" s="964"/>
      <c r="SFW3" s="964"/>
      <c r="SFX3" s="964"/>
      <c r="SFY3" s="964"/>
      <c r="SFZ3" s="964"/>
      <c r="SGA3" s="964"/>
      <c r="SGB3" s="964"/>
      <c r="SGC3" s="964"/>
      <c r="SGD3" s="964"/>
      <c r="SGE3" s="964"/>
      <c r="SGF3" s="964"/>
      <c r="SGG3" s="964"/>
      <c r="SGH3" s="964"/>
      <c r="SGI3" s="964"/>
      <c r="SGJ3" s="964"/>
      <c r="SGK3" s="964"/>
      <c r="SGL3" s="964"/>
      <c r="SGM3" s="964"/>
      <c r="SGN3" s="964"/>
      <c r="SGO3" s="964"/>
      <c r="SGP3" s="964"/>
      <c r="SGQ3" s="964"/>
      <c r="SGR3" s="964"/>
      <c r="SGS3" s="964"/>
      <c r="SGT3" s="964"/>
      <c r="SGU3" s="964"/>
      <c r="SGV3" s="964"/>
      <c r="SGW3" s="964"/>
      <c r="SGX3" s="964"/>
      <c r="SGY3" s="964"/>
      <c r="SGZ3" s="964"/>
      <c r="SHA3" s="964"/>
      <c r="SHB3" s="964"/>
      <c r="SHC3" s="964"/>
      <c r="SHD3" s="964"/>
      <c r="SHE3" s="964"/>
      <c r="SHF3" s="964"/>
      <c r="SHG3" s="964"/>
      <c r="SHH3" s="964"/>
      <c r="SHI3" s="964"/>
      <c r="SHJ3" s="964"/>
      <c r="SHK3" s="964"/>
      <c r="SHL3" s="964"/>
      <c r="SHM3" s="964"/>
      <c r="SHN3" s="964"/>
      <c r="SHO3" s="964"/>
      <c r="SHP3" s="964"/>
      <c r="SHQ3" s="964"/>
      <c r="SHR3" s="964"/>
      <c r="SHS3" s="964"/>
      <c r="SHT3" s="964"/>
      <c r="SHU3" s="964"/>
      <c r="SHV3" s="964"/>
      <c r="SHW3" s="964"/>
      <c r="SHX3" s="964"/>
      <c r="SHY3" s="964"/>
      <c r="SHZ3" s="964"/>
      <c r="SIA3" s="964"/>
      <c r="SIB3" s="964"/>
      <c r="SIC3" s="964"/>
      <c r="SID3" s="964"/>
      <c r="SIE3" s="964"/>
      <c r="SIF3" s="964"/>
      <c r="SIG3" s="964"/>
      <c r="SIH3" s="964"/>
      <c r="SII3" s="964"/>
      <c r="SIJ3" s="964"/>
      <c r="SIK3" s="964"/>
      <c r="SIL3" s="964"/>
      <c r="SIM3" s="964"/>
      <c r="SIN3" s="964"/>
      <c r="SIO3" s="964"/>
      <c r="SIP3" s="964"/>
      <c r="SIQ3" s="964"/>
      <c r="SIR3" s="964"/>
      <c r="SIS3" s="964"/>
      <c r="SIT3" s="964"/>
      <c r="SIU3" s="964"/>
      <c r="SIV3" s="964"/>
      <c r="SIW3" s="964"/>
      <c r="SIX3" s="964"/>
      <c r="SIY3" s="964"/>
      <c r="SIZ3" s="964"/>
      <c r="SJA3" s="964"/>
      <c r="SJB3" s="964"/>
      <c r="SJC3" s="964"/>
      <c r="SJD3" s="964"/>
      <c r="SJE3" s="964"/>
      <c r="SJF3" s="964"/>
      <c r="SJG3" s="964"/>
      <c r="SJH3" s="964"/>
      <c r="SJI3" s="964"/>
      <c r="SJJ3" s="964"/>
      <c r="SJK3" s="964"/>
      <c r="SJL3" s="964"/>
      <c r="SJM3" s="964"/>
      <c r="SJN3" s="964"/>
      <c r="SJO3" s="964"/>
      <c r="SJP3" s="964"/>
      <c r="SJQ3" s="964"/>
      <c r="SJR3" s="964"/>
      <c r="SJS3" s="964"/>
      <c r="SJT3" s="964"/>
      <c r="SJU3" s="964"/>
      <c r="SJV3" s="964"/>
      <c r="SJW3" s="964"/>
      <c r="SJX3" s="964"/>
      <c r="SJY3" s="964"/>
      <c r="SJZ3" s="964"/>
      <c r="SKA3" s="964"/>
      <c r="SKB3" s="964"/>
      <c r="SKC3" s="964"/>
      <c r="SKD3" s="964"/>
      <c r="SKE3" s="964"/>
      <c r="SKF3" s="964"/>
      <c r="SKG3" s="964"/>
      <c r="SKH3" s="964"/>
      <c r="SKI3" s="964"/>
      <c r="SKJ3" s="964"/>
      <c r="SKK3" s="964"/>
      <c r="SKL3" s="964"/>
      <c r="SKM3" s="964"/>
      <c r="SKN3" s="964"/>
      <c r="SKO3" s="964"/>
      <c r="SKP3" s="964"/>
      <c r="SKQ3" s="964"/>
      <c r="SKR3" s="964"/>
      <c r="SKS3" s="964"/>
      <c r="SKT3" s="964"/>
      <c r="SKU3" s="964"/>
      <c r="SKV3" s="964"/>
      <c r="SKW3" s="964"/>
      <c r="SKX3" s="964"/>
      <c r="SKY3" s="964"/>
      <c r="SKZ3" s="964"/>
      <c r="SLA3" s="964"/>
      <c r="SLB3" s="964"/>
      <c r="SLC3" s="964"/>
      <c r="SLD3" s="964"/>
      <c r="SLE3" s="964"/>
      <c r="SLF3" s="964"/>
      <c r="SLG3" s="964"/>
      <c r="SLH3" s="964"/>
      <c r="SLI3" s="964"/>
      <c r="SLJ3" s="964"/>
      <c r="SLK3" s="964"/>
      <c r="SLL3" s="964"/>
      <c r="SLM3" s="964"/>
      <c r="SLN3" s="964"/>
      <c r="SLO3" s="964"/>
      <c r="SLP3" s="964"/>
      <c r="SLQ3" s="964"/>
      <c r="SLR3" s="964"/>
      <c r="SLS3" s="964"/>
      <c r="SLT3" s="964"/>
      <c r="SLU3" s="964"/>
      <c r="SLV3" s="964"/>
      <c r="SLW3" s="964"/>
      <c r="SLX3" s="964"/>
      <c r="SLY3" s="964"/>
      <c r="SLZ3" s="964"/>
      <c r="SMA3" s="964"/>
      <c r="SMB3" s="964"/>
      <c r="SMC3" s="964"/>
      <c r="SMD3" s="964"/>
      <c r="SME3" s="964"/>
      <c r="SMF3" s="964"/>
      <c r="SMG3" s="964"/>
      <c r="SMH3" s="964"/>
      <c r="SMI3" s="964"/>
      <c r="SMJ3" s="964"/>
      <c r="SMK3" s="964"/>
      <c r="SML3" s="964"/>
      <c r="SMM3" s="964"/>
      <c r="SMN3" s="964"/>
      <c r="SMO3" s="964"/>
      <c r="SMP3" s="964"/>
      <c r="SMQ3" s="964"/>
      <c r="SMR3" s="964"/>
      <c r="SMS3" s="964"/>
      <c r="SMT3" s="964"/>
      <c r="SMU3" s="964"/>
      <c r="SMV3" s="964"/>
      <c r="SMW3" s="964"/>
      <c r="SMX3" s="964"/>
      <c r="SMY3" s="964"/>
      <c r="SMZ3" s="964"/>
      <c r="SNA3" s="964"/>
      <c r="SNB3" s="964"/>
      <c r="SNC3" s="964"/>
      <c r="SND3" s="964"/>
      <c r="SNE3" s="964"/>
      <c r="SNF3" s="964"/>
      <c r="SNG3" s="964"/>
      <c r="SNH3" s="964"/>
      <c r="SNI3" s="964"/>
      <c r="SNJ3" s="964"/>
      <c r="SNK3" s="964"/>
      <c r="SNL3" s="964"/>
      <c r="SNM3" s="964"/>
      <c r="SNN3" s="964"/>
      <c r="SNO3" s="964"/>
      <c r="SNP3" s="964"/>
      <c r="SNQ3" s="964"/>
      <c r="SNR3" s="964"/>
      <c r="SNS3" s="964"/>
      <c r="SNT3" s="964"/>
      <c r="SNU3" s="964"/>
      <c r="SNV3" s="964"/>
      <c r="SNW3" s="964"/>
      <c r="SNX3" s="964"/>
      <c r="SNY3" s="964"/>
      <c r="SNZ3" s="964"/>
      <c r="SOA3" s="964"/>
      <c r="SOB3" s="964"/>
      <c r="SOC3" s="964"/>
      <c r="SOD3" s="964"/>
      <c r="SOE3" s="964"/>
      <c r="SOF3" s="964"/>
      <c r="SOG3" s="964"/>
      <c r="SOH3" s="964"/>
      <c r="SOI3" s="964"/>
      <c r="SOJ3" s="964"/>
      <c r="SOK3" s="964"/>
      <c r="SOL3" s="964"/>
      <c r="SOM3" s="964"/>
      <c r="SON3" s="964"/>
      <c r="SOO3" s="964"/>
      <c r="SOP3" s="964"/>
      <c r="SOQ3" s="964"/>
      <c r="SOR3" s="964"/>
      <c r="SOS3" s="964"/>
      <c r="SOT3" s="964"/>
      <c r="SOU3" s="964"/>
      <c r="SOV3" s="964"/>
      <c r="SOW3" s="964"/>
      <c r="SOX3" s="964"/>
      <c r="SOY3" s="964"/>
      <c r="SOZ3" s="964"/>
      <c r="SPA3" s="964"/>
      <c r="SPB3" s="964"/>
      <c r="SPC3" s="964"/>
      <c r="SPD3" s="964"/>
      <c r="SPE3" s="964"/>
      <c r="SPF3" s="964"/>
      <c r="SPG3" s="964"/>
      <c r="SPH3" s="964"/>
      <c r="SPI3" s="964"/>
      <c r="SPJ3" s="964"/>
      <c r="SPK3" s="964"/>
      <c r="SPL3" s="964"/>
      <c r="SPM3" s="964"/>
      <c r="SPN3" s="964"/>
      <c r="SPO3" s="964"/>
      <c r="SPP3" s="964"/>
      <c r="SPQ3" s="964"/>
      <c r="SPR3" s="964"/>
      <c r="SPS3" s="964"/>
      <c r="SPT3" s="964"/>
      <c r="SPU3" s="964"/>
      <c r="SPV3" s="964"/>
      <c r="SPW3" s="964"/>
      <c r="SPX3" s="964"/>
      <c r="SPY3" s="964"/>
      <c r="SPZ3" s="964"/>
      <c r="SQA3" s="964"/>
      <c r="SQB3" s="964"/>
      <c r="SQC3" s="964"/>
      <c r="SQD3" s="964"/>
      <c r="SQE3" s="964"/>
      <c r="SQF3" s="964"/>
      <c r="SQG3" s="964"/>
      <c r="SQH3" s="964"/>
      <c r="SQI3" s="964"/>
      <c r="SQJ3" s="964"/>
      <c r="SQK3" s="964"/>
      <c r="SQL3" s="964"/>
      <c r="SQM3" s="964"/>
      <c r="SQN3" s="964"/>
      <c r="SQO3" s="964"/>
      <c r="SQP3" s="964"/>
      <c r="SQQ3" s="964"/>
      <c r="SQR3" s="964"/>
      <c r="SQS3" s="964"/>
      <c r="SQT3" s="964"/>
      <c r="SQU3" s="964"/>
      <c r="SQV3" s="964"/>
      <c r="SQW3" s="964"/>
      <c r="SQX3" s="964"/>
      <c r="SQY3" s="964"/>
      <c r="SQZ3" s="964"/>
      <c r="SRA3" s="964"/>
      <c r="SRB3" s="964"/>
      <c r="SRC3" s="964"/>
      <c r="SRD3" s="964"/>
      <c r="SRE3" s="964"/>
      <c r="SRF3" s="964"/>
      <c r="SRG3" s="964"/>
      <c r="SRH3" s="964"/>
      <c r="SRI3" s="964"/>
      <c r="SRJ3" s="964"/>
      <c r="SRK3" s="964"/>
      <c r="SRL3" s="964"/>
      <c r="SRM3" s="964"/>
      <c r="SRN3" s="964"/>
      <c r="SRO3" s="964"/>
      <c r="SRP3" s="964"/>
      <c r="SRQ3" s="964"/>
      <c r="SRR3" s="964"/>
      <c r="SRS3" s="964"/>
      <c r="SRT3" s="964"/>
      <c r="SRU3" s="964"/>
      <c r="SRV3" s="964"/>
      <c r="SRW3" s="964"/>
      <c r="SRX3" s="964"/>
      <c r="SRY3" s="964"/>
      <c r="SRZ3" s="964"/>
      <c r="SSA3" s="964"/>
      <c r="SSB3" s="964"/>
      <c r="SSC3" s="964"/>
      <c r="SSD3" s="964"/>
      <c r="SSE3" s="964"/>
      <c r="SSF3" s="964"/>
      <c r="SSG3" s="964"/>
      <c r="SSH3" s="964"/>
      <c r="SSI3" s="964"/>
      <c r="SSJ3" s="964"/>
      <c r="SSK3" s="964"/>
      <c r="SSL3" s="964"/>
      <c r="SSM3" s="964"/>
      <c r="SSN3" s="964"/>
      <c r="SSO3" s="964"/>
      <c r="SSP3" s="964"/>
      <c r="SSQ3" s="964"/>
      <c r="SSR3" s="964"/>
      <c r="SSS3" s="964"/>
      <c r="SST3" s="964"/>
      <c r="SSU3" s="964"/>
      <c r="SSV3" s="964"/>
      <c r="SSW3" s="964"/>
      <c r="SSX3" s="964"/>
      <c r="SSY3" s="964"/>
      <c r="SSZ3" s="964"/>
      <c r="STA3" s="964"/>
      <c r="STB3" s="964"/>
      <c r="STC3" s="964"/>
      <c r="STD3" s="964"/>
      <c r="STE3" s="964"/>
      <c r="STF3" s="964"/>
      <c r="STG3" s="964"/>
      <c r="STH3" s="964"/>
      <c r="STI3" s="964"/>
      <c r="STJ3" s="964"/>
      <c r="STK3" s="964"/>
      <c r="STL3" s="964"/>
      <c r="STM3" s="964"/>
      <c r="STN3" s="964"/>
      <c r="STO3" s="964"/>
      <c r="STP3" s="964"/>
      <c r="STQ3" s="964"/>
      <c r="STR3" s="964"/>
      <c r="STS3" s="964"/>
      <c r="STT3" s="964"/>
      <c r="STU3" s="964"/>
      <c r="STV3" s="964"/>
      <c r="STW3" s="964"/>
      <c r="STX3" s="964"/>
      <c r="STY3" s="964"/>
      <c r="STZ3" s="964"/>
      <c r="SUA3" s="964"/>
      <c r="SUB3" s="964"/>
      <c r="SUC3" s="964"/>
      <c r="SUD3" s="964"/>
      <c r="SUE3" s="964"/>
      <c r="SUF3" s="964"/>
      <c r="SUG3" s="964"/>
      <c r="SUH3" s="964"/>
      <c r="SUI3" s="964"/>
      <c r="SUJ3" s="964"/>
      <c r="SUK3" s="964"/>
      <c r="SUL3" s="964"/>
      <c r="SUM3" s="964"/>
      <c r="SUN3" s="964"/>
      <c r="SUO3" s="964"/>
      <c r="SUP3" s="964"/>
      <c r="SUQ3" s="964"/>
      <c r="SUR3" s="964"/>
      <c r="SUS3" s="964"/>
      <c r="SUT3" s="964"/>
      <c r="SUU3" s="964"/>
      <c r="SUV3" s="964"/>
      <c r="SUW3" s="964"/>
      <c r="SUX3" s="964"/>
      <c r="SUY3" s="964"/>
      <c r="SUZ3" s="964"/>
      <c r="SVA3" s="964"/>
      <c r="SVB3" s="964"/>
      <c r="SVC3" s="964"/>
      <c r="SVD3" s="964"/>
      <c r="SVE3" s="964"/>
      <c r="SVF3" s="964"/>
      <c r="SVG3" s="964"/>
      <c r="SVH3" s="964"/>
      <c r="SVI3" s="964"/>
      <c r="SVJ3" s="964"/>
      <c r="SVK3" s="964"/>
      <c r="SVL3" s="964"/>
      <c r="SVM3" s="964"/>
      <c r="SVN3" s="964"/>
      <c r="SVO3" s="964"/>
      <c r="SVP3" s="964"/>
      <c r="SVQ3" s="964"/>
      <c r="SVR3" s="964"/>
      <c r="SVS3" s="964"/>
      <c r="SVT3" s="964"/>
      <c r="SVU3" s="964"/>
      <c r="SVV3" s="964"/>
      <c r="SVW3" s="964"/>
      <c r="SVX3" s="964"/>
      <c r="SVY3" s="964"/>
      <c r="SVZ3" s="964"/>
      <c r="SWA3" s="964"/>
      <c r="SWB3" s="964"/>
      <c r="SWC3" s="964"/>
      <c r="SWD3" s="964"/>
      <c r="SWE3" s="964"/>
      <c r="SWF3" s="964"/>
      <c r="SWG3" s="964"/>
      <c r="SWH3" s="964"/>
      <c r="SWI3" s="964"/>
      <c r="SWJ3" s="964"/>
      <c r="SWK3" s="964"/>
      <c r="SWL3" s="964"/>
      <c r="SWM3" s="964"/>
      <c r="SWN3" s="964"/>
      <c r="SWO3" s="964"/>
      <c r="SWP3" s="964"/>
      <c r="SWQ3" s="964"/>
      <c r="SWR3" s="964"/>
      <c r="SWS3" s="964"/>
      <c r="SWT3" s="964"/>
      <c r="SWU3" s="964"/>
      <c r="SWV3" s="964"/>
      <c r="SWW3" s="964"/>
      <c r="SWX3" s="964"/>
      <c r="SWY3" s="964"/>
      <c r="SWZ3" s="964"/>
      <c r="SXA3" s="964"/>
      <c r="SXB3" s="964"/>
      <c r="SXC3" s="964"/>
      <c r="SXD3" s="964"/>
      <c r="SXE3" s="964"/>
      <c r="SXF3" s="964"/>
      <c r="SXG3" s="964"/>
      <c r="SXH3" s="964"/>
      <c r="SXI3" s="964"/>
      <c r="SXJ3" s="964"/>
      <c r="SXK3" s="964"/>
      <c r="SXL3" s="964"/>
      <c r="SXM3" s="964"/>
      <c r="SXN3" s="964"/>
      <c r="SXO3" s="964"/>
      <c r="SXP3" s="964"/>
      <c r="SXQ3" s="964"/>
      <c r="SXR3" s="964"/>
      <c r="SXS3" s="964"/>
      <c r="SXT3" s="964"/>
      <c r="SXU3" s="964"/>
      <c r="SXV3" s="964"/>
      <c r="SXW3" s="964"/>
      <c r="SXX3" s="964"/>
      <c r="SXY3" s="964"/>
      <c r="SXZ3" s="964"/>
      <c r="SYA3" s="964"/>
      <c r="SYB3" s="964"/>
      <c r="SYC3" s="964"/>
      <c r="SYD3" s="964"/>
      <c r="SYE3" s="964"/>
      <c r="SYF3" s="964"/>
      <c r="SYG3" s="964"/>
      <c r="SYH3" s="964"/>
      <c r="SYI3" s="964"/>
      <c r="SYJ3" s="964"/>
      <c r="SYK3" s="964"/>
      <c r="SYL3" s="964"/>
      <c r="SYM3" s="964"/>
      <c r="SYN3" s="964"/>
      <c r="SYO3" s="964"/>
      <c r="SYP3" s="964"/>
      <c r="SYQ3" s="964"/>
      <c r="SYR3" s="964"/>
      <c r="SYS3" s="964"/>
      <c r="SYT3" s="964"/>
      <c r="SYU3" s="964"/>
      <c r="SYV3" s="964"/>
      <c r="SYW3" s="964"/>
      <c r="SYX3" s="964"/>
      <c r="SYY3" s="964"/>
      <c r="SYZ3" s="964"/>
      <c r="SZA3" s="964"/>
      <c r="SZB3" s="964"/>
      <c r="SZC3" s="964"/>
      <c r="SZD3" s="964"/>
      <c r="SZE3" s="964"/>
      <c r="SZF3" s="964"/>
      <c r="SZG3" s="964"/>
      <c r="SZH3" s="964"/>
      <c r="SZI3" s="964"/>
      <c r="SZJ3" s="964"/>
      <c r="SZK3" s="964"/>
      <c r="SZL3" s="964"/>
      <c r="SZM3" s="964"/>
      <c r="SZN3" s="964"/>
      <c r="SZO3" s="964"/>
      <c r="SZP3" s="964"/>
      <c r="SZQ3" s="964"/>
      <c r="SZR3" s="964"/>
      <c r="SZS3" s="964"/>
      <c r="SZT3" s="964"/>
      <c r="SZU3" s="964"/>
      <c r="SZV3" s="964"/>
      <c r="SZW3" s="964"/>
      <c r="SZX3" s="964"/>
      <c r="SZY3" s="964"/>
      <c r="SZZ3" s="964"/>
      <c r="TAA3" s="964"/>
      <c r="TAB3" s="964"/>
      <c r="TAC3" s="964"/>
      <c r="TAD3" s="964"/>
      <c r="TAE3" s="964"/>
      <c r="TAF3" s="964"/>
      <c r="TAG3" s="964"/>
      <c r="TAH3" s="964"/>
      <c r="TAI3" s="964"/>
      <c r="TAJ3" s="964"/>
      <c r="TAK3" s="964"/>
      <c r="TAL3" s="964"/>
      <c r="TAM3" s="964"/>
      <c r="TAN3" s="964"/>
      <c r="TAO3" s="964"/>
      <c r="TAP3" s="964"/>
      <c r="TAQ3" s="964"/>
      <c r="TAR3" s="964"/>
      <c r="TAS3" s="964"/>
      <c r="TAT3" s="964"/>
      <c r="TAU3" s="964"/>
      <c r="TAV3" s="964"/>
      <c r="TAW3" s="964"/>
      <c r="TAX3" s="964"/>
      <c r="TAY3" s="964"/>
      <c r="TAZ3" s="964"/>
      <c r="TBA3" s="964"/>
      <c r="TBB3" s="964"/>
      <c r="TBC3" s="964"/>
      <c r="TBD3" s="964"/>
      <c r="TBE3" s="964"/>
      <c r="TBF3" s="964"/>
      <c r="TBG3" s="964"/>
      <c r="TBH3" s="964"/>
      <c r="TBI3" s="964"/>
      <c r="TBJ3" s="964"/>
      <c r="TBK3" s="964"/>
      <c r="TBL3" s="964"/>
      <c r="TBM3" s="964"/>
      <c r="TBN3" s="964"/>
      <c r="TBO3" s="964"/>
      <c r="TBP3" s="964"/>
      <c r="TBQ3" s="964"/>
      <c r="TBR3" s="964"/>
      <c r="TBS3" s="964"/>
      <c r="TBT3" s="964"/>
      <c r="TBU3" s="964"/>
      <c r="TBV3" s="964"/>
      <c r="TBW3" s="964"/>
      <c r="TBX3" s="964"/>
      <c r="TBY3" s="964"/>
      <c r="TBZ3" s="964"/>
      <c r="TCA3" s="964"/>
      <c r="TCB3" s="964"/>
      <c r="TCC3" s="964"/>
      <c r="TCD3" s="964"/>
      <c r="TCE3" s="964"/>
      <c r="TCF3" s="964"/>
      <c r="TCG3" s="964"/>
      <c r="TCH3" s="964"/>
      <c r="TCI3" s="964"/>
      <c r="TCJ3" s="964"/>
      <c r="TCK3" s="964"/>
      <c r="TCL3" s="964"/>
      <c r="TCM3" s="964"/>
      <c r="TCN3" s="964"/>
      <c r="TCO3" s="964"/>
      <c r="TCP3" s="964"/>
      <c r="TCQ3" s="964"/>
      <c r="TCR3" s="964"/>
      <c r="TCS3" s="964"/>
      <c r="TCT3" s="964"/>
      <c r="TCU3" s="964"/>
      <c r="TCV3" s="964"/>
      <c r="TCW3" s="964"/>
      <c r="TCX3" s="964"/>
      <c r="TCY3" s="964"/>
      <c r="TCZ3" s="964"/>
      <c r="TDA3" s="964"/>
      <c r="TDB3" s="964"/>
      <c r="TDC3" s="964"/>
      <c r="TDD3" s="964"/>
      <c r="TDE3" s="964"/>
      <c r="TDF3" s="964"/>
      <c r="TDG3" s="964"/>
      <c r="TDH3" s="964"/>
      <c r="TDI3" s="964"/>
      <c r="TDJ3" s="964"/>
      <c r="TDK3" s="964"/>
      <c r="TDL3" s="964"/>
      <c r="TDM3" s="964"/>
      <c r="TDN3" s="964"/>
      <c r="TDO3" s="964"/>
      <c r="TDP3" s="964"/>
      <c r="TDQ3" s="964"/>
      <c r="TDR3" s="964"/>
      <c r="TDS3" s="964"/>
      <c r="TDT3" s="964"/>
      <c r="TDU3" s="964"/>
      <c r="TDV3" s="964"/>
      <c r="TDW3" s="964"/>
      <c r="TDX3" s="964"/>
      <c r="TDY3" s="964"/>
      <c r="TDZ3" s="964"/>
      <c r="TEA3" s="964"/>
      <c r="TEB3" s="964"/>
      <c r="TEC3" s="964"/>
      <c r="TED3" s="964"/>
      <c r="TEE3" s="964"/>
      <c r="TEF3" s="964"/>
      <c r="TEG3" s="964"/>
      <c r="TEH3" s="964"/>
      <c r="TEI3" s="964"/>
      <c r="TEJ3" s="964"/>
      <c r="TEK3" s="964"/>
      <c r="TEL3" s="964"/>
      <c r="TEM3" s="964"/>
      <c r="TEN3" s="964"/>
      <c r="TEO3" s="964"/>
      <c r="TEP3" s="964"/>
      <c r="TEQ3" s="964"/>
      <c r="TER3" s="964"/>
      <c r="TES3" s="964"/>
      <c r="TET3" s="964"/>
      <c r="TEU3" s="964"/>
      <c r="TEV3" s="964"/>
      <c r="TEW3" s="964"/>
      <c r="TEX3" s="964"/>
      <c r="TEY3" s="964"/>
      <c r="TEZ3" s="964"/>
      <c r="TFA3" s="964"/>
      <c r="TFB3" s="964"/>
      <c r="TFC3" s="964"/>
      <c r="TFD3" s="964"/>
      <c r="TFE3" s="964"/>
      <c r="TFF3" s="964"/>
      <c r="TFG3" s="964"/>
      <c r="TFH3" s="964"/>
      <c r="TFI3" s="964"/>
      <c r="TFJ3" s="964"/>
      <c r="TFK3" s="964"/>
      <c r="TFL3" s="964"/>
      <c r="TFM3" s="964"/>
      <c r="TFN3" s="964"/>
      <c r="TFO3" s="964"/>
      <c r="TFP3" s="964"/>
      <c r="TFQ3" s="964"/>
      <c r="TFR3" s="964"/>
      <c r="TFS3" s="964"/>
      <c r="TFT3" s="964"/>
      <c r="TFU3" s="964"/>
      <c r="TFV3" s="964"/>
      <c r="TFW3" s="964"/>
      <c r="TFX3" s="964"/>
      <c r="TFY3" s="964"/>
      <c r="TFZ3" s="964"/>
      <c r="TGA3" s="964"/>
      <c r="TGB3" s="964"/>
      <c r="TGC3" s="964"/>
      <c r="TGD3" s="964"/>
      <c r="TGE3" s="964"/>
      <c r="TGF3" s="964"/>
      <c r="TGG3" s="964"/>
      <c r="TGH3" s="964"/>
      <c r="TGI3" s="964"/>
      <c r="TGJ3" s="964"/>
      <c r="TGK3" s="964"/>
      <c r="TGL3" s="964"/>
      <c r="TGM3" s="964"/>
      <c r="TGN3" s="964"/>
      <c r="TGO3" s="964"/>
      <c r="TGP3" s="964"/>
      <c r="TGQ3" s="964"/>
      <c r="TGR3" s="964"/>
      <c r="TGS3" s="964"/>
      <c r="TGT3" s="964"/>
      <c r="TGU3" s="964"/>
      <c r="TGV3" s="964"/>
      <c r="TGW3" s="964"/>
      <c r="TGX3" s="964"/>
      <c r="TGY3" s="964"/>
      <c r="TGZ3" s="964"/>
      <c r="THA3" s="964"/>
      <c r="THB3" s="964"/>
      <c r="THC3" s="964"/>
      <c r="THD3" s="964"/>
      <c r="THE3" s="964"/>
      <c r="THF3" s="964"/>
      <c r="THG3" s="964"/>
      <c r="THH3" s="964"/>
      <c r="THI3" s="964"/>
      <c r="THJ3" s="964"/>
      <c r="THK3" s="964"/>
      <c r="THL3" s="964"/>
      <c r="THM3" s="964"/>
      <c r="THN3" s="964"/>
      <c r="THO3" s="964"/>
      <c r="THP3" s="964"/>
      <c r="THQ3" s="964"/>
      <c r="THR3" s="964"/>
      <c r="THS3" s="964"/>
      <c r="THT3" s="964"/>
      <c r="THU3" s="964"/>
      <c r="THV3" s="964"/>
      <c r="THW3" s="964"/>
      <c r="THX3" s="964"/>
      <c r="THY3" s="964"/>
      <c r="THZ3" s="964"/>
      <c r="TIA3" s="964"/>
      <c r="TIB3" s="964"/>
      <c r="TIC3" s="964"/>
      <c r="TID3" s="964"/>
      <c r="TIE3" s="964"/>
      <c r="TIF3" s="964"/>
      <c r="TIG3" s="964"/>
      <c r="TIH3" s="964"/>
      <c r="TII3" s="964"/>
      <c r="TIJ3" s="964"/>
      <c r="TIK3" s="964"/>
      <c r="TIL3" s="964"/>
      <c r="TIM3" s="964"/>
      <c r="TIN3" s="964"/>
      <c r="TIO3" s="964"/>
      <c r="TIP3" s="964"/>
      <c r="TIQ3" s="964"/>
      <c r="TIR3" s="964"/>
      <c r="TIS3" s="964"/>
      <c r="TIT3" s="964"/>
      <c r="TIU3" s="964"/>
      <c r="TIV3" s="964"/>
      <c r="TIW3" s="964"/>
      <c r="TIX3" s="964"/>
      <c r="TIY3" s="964"/>
      <c r="TIZ3" s="964"/>
      <c r="TJA3" s="964"/>
      <c r="TJB3" s="964"/>
      <c r="TJC3" s="964"/>
      <c r="TJD3" s="964"/>
      <c r="TJE3" s="964"/>
      <c r="TJF3" s="964"/>
      <c r="TJG3" s="964"/>
      <c r="TJH3" s="964"/>
      <c r="TJI3" s="964"/>
      <c r="TJJ3" s="964"/>
      <c r="TJK3" s="964"/>
      <c r="TJL3" s="964"/>
      <c r="TJM3" s="964"/>
      <c r="TJN3" s="964"/>
      <c r="TJO3" s="964"/>
      <c r="TJP3" s="964"/>
      <c r="TJQ3" s="964"/>
      <c r="TJR3" s="964"/>
      <c r="TJS3" s="964"/>
      <c r="TJT3" s="964"/>
      <c r="TJU3" s="964"/>
      <c r="TJV3" s="964"/>
      <c r="TJW3" s="964"/>
      <c r="TJX3" s="964"/>
      <c r="TJY3" s="964"/>
      <c r="TJZ3" s="964"/>
      <c r="TKA3" s="964"/>
      <c r="TKB3" s="964"/>
      <c r="TKC3" s="964"/>
      <c r="TKD3" s="964"/>
      <c r="TKE3" s="964"/>
      <c r="TKF3" s="964"/>
      <c r="TKG3" s="964"/>
      <c r="TKH3" s="964"/>
      <c r="TKI3" s="964"/>
      <c r="TKJ3" s="964"/>
      <c r="TKK3" s="964"/>
      <c r="TKL3" s="964"/>
      <c r="TKM3" s="964"/>
      <c r="TKN3" s="964"/>
      <c r="TKO3" s="964"/>
      <c r="TKP3" s="964"/>
      <c r="TKQ3" s="964"/>
      <c r="TKR3" s="964"/>
      <c r="TKS3" s="964"/>
      <c r="TKT3" s="964"/>
      <c r="TKU3" s="964"/>
      <c r="TKV3" s="964"/>
      <c r="TKW3" s="964"/>
      <c r="TKX3" s="964"/>
      <c r="TKY3" s="964"/>
      <c r="TKZ3" s="964"/>
      <c r="TLA3" s="964"/>
      <c r="TLB3" s="964"/>
      <c r="TLC3" s="964"/>
      <c r="TLD3" s="964"/>
      <c r="TLE3" s="964"/>
      <c r="TLF3" s="964"/>
      <c r="TLG3" s="964"/>
      <c r="TLH3" s="964"/>
      <c r="TLI3" s="964"/>
      <c r="TLJ3" s="964"/>
      <c r="TLK3" s="964"/>
      <c r="TLL3" s="964"/>
      <c r="TLM3" s="964"/>
      <c r="TLN3" s="964"/>
      <c r="TLO3" s="964"/>
      <c r="TLP3" s="964"/>
      <c r="TLQ3" s="964"/>
      <c r="TLR3" s="964"/>
      <c r="TLS3" s="964"/>
      <c r="TLT3" s="964"/>
      <c r="TLU3" s="964"/>
      <c r="TLV3" s="964"/>
      <c r="TLW3" s="964"/>
      <c r="TLX3" s="964"/>
      <c r="TLY3" s="964"/>
      <c r="TLZ3" s="964"/>
      <c r="TMA3" s="964"/>
      <c r="TMB3" s="964"/>
      <c r="TMC3" s="964"/>
      <c r="TMD3" s="964"/>
      <c r="TME3" s="964"/>
      <c r="TMF3" s="964"/>
      <c r="TMG3" s="964"/>
      <c r="TMH3" s="964"/>
      <c r="TMI3" s="964"/>
      <c r="TMJ3" s="964"/>
      <c r="TMK3" s="964"/>
      <c r="TML3" s="964"/>
      <c r="TMM3" s="964"/>
      <c r="TMN3" s="964"/>
      <c r="TMO3" s="964"/>
      <c r="TMP3" s="964"/>
      <c r="TMQ3" s="964"/>
      <c r="TMR3" s="964"/>
      <c r="TMS3" s="964"/>
      <c r="TMT3" s="964"/>
      <c r="TMU3" s="964"/>
      <c r="TMV3" s="964"/>
      <c r="TMW3" s="964"/>
      <c r="TMX3" s="964"/>
      <c r="TMY3" s="964"/>
      <c r="TMZ3" s="964"/>
      <c r="TNA3" s="964"/>
      <c r="TNB3" s="964"/>
      <c r="TNC3" s="964"/>
      <c r="TND3" s="964"/>
      <c r="TNE3" s="964"/>
      <c r="TNF3" s="964"/>
      <c r="TNG3" s="964"/>
      <c r="TNH3" s="964"/>
      <c r="TNI3" s="964"/>
      <c r="TNJ3" s="964"/>
      <c r="TNK3" s="964"/>
      <c r="TNL3" s="964"/>
      <c r="TNM3" s="964"/>
      <c r="TNN3" s="964"/>
      <c r="TNO3" s="964"/>
      <c r="TNP3" s="964"/>
      <c r="TNQ3" s="964"/>
      <c r="TNR3" s="964"/>
      <c r="TNS3" s="964"/>
      <c r="TNT3" s="964"/>
      <c r="TNU3" s="964"/>
      <c r="TNV3" s="964"/>
      <c r="TNW3" s="964"/>
      <c r="TNX3" s="964"/>
      <c r="TNY3" s="964"/>
      <c r="TNZ3" s="964"/>
      <c r="TOA3" s="964"/>
      <c r="TOB3" s="964"/>
      <c r="TOC3" s="964"/>
      <c r="TOD3" s="964"/>
      <c r="TOE3" s="964"/>
      <c r="TOF3" s="964"/>
      <c r="TOG3" s="964"/>
      <c r="TOH3" s="964"/>
      <c r="TOI3" s="964"/>
      <c r="TOJ3" s="964"/>
      <c r="TOK3" s="964"/>
      <c r="TOL3" s="964"/>
      <c r="TOM3" s="964"/>
      <c r="TON3" s="964"/>
      <c r="TOO3" s="964"/>
      <c r="TOP3" s="964"/>
      <c r="TOQ3" s="964"/>
      <c r="TOR3" s="964"/>
      <c r="TOS3" s="964"/>
      <c r="TOT3" s="964"/>
      <c r="TOU3" s="964"/>
      <c r="TOV3" s="964"/>
      <c r="TOW3" s="964"/>
      <c r="TOX3" s="964"/>
      <c r="TOY3" s="964"/>
      <c r="TOZ3" s="964"/>
      <c r="TPA3" s="964"/>
      <c r="TPB3" s="964"/>
      <c r="TPC3" s="964"/>
      <c r="TPD3" s="964"/>
      <c r="TPE3" s="964"/>
      <c r="TPF3" s="964"/>
      <c r="TPG3" s="964"/>
      <c r="TPH3" s="964"/>
      <c r="TPI3" s="964"/>
      <c r="TPJ3" s="964"/>
      <c r="TPK3" s="964"/>
      <c r="TPL3" s="964"/>
      <c r="TPM3" s="964"/>
      <c r="TPN3" s="964"/>
      <c r="TPO3" s="964"/>
      <c r="TPP3" s="964"/>
      <c r="TPQ3" s="964"/>
      <c r="TPR3" s="964"/>
      <c r="TPS3" s="964"/>
      <c r="TPT3" s="964"/>
      <c r="TPU3" s="964"/>
      <c r="TPV3" s="964"/>
      <c r="TPW3" s="964"/>
      <c r="TPX3" s="964"/>
      <c r="TPY3" s="964"/>
      <c r="TPZ3" s="964"/>
      <c r="TQA3" s="964"/>
      <c r="TQB3" s="964"/>
      <c r="TQC3" s="964"/>
      <c r="TQD3" s="964"/>
      <c r="TQE3" s="964"/>
      <c r="TQF3" s="964"/>
      <c r="TQG3" s="964"/>
      <c r="TQH3" s="964"/>
      <c r="TQI3" s="964"/>
      <c r="TQJ3" s="964"/>
      <c r="TQK3" s="964"/>
      <c r="TQL3" s="964"/>
      <c r="TQM3" s="964"/>
      <c r="TQN3" s="964"/>
      <c r="TQO3" s="964"/>
      <c r="TQP3" s="964"/>
      <c r="TQQ3" s="964"/>
      <c r="TQR3" s="964"/>
      <c r="TQS3" s="964"/>
      <c r="TQT3" s="964"/>
      <c r="TQU3" s="964"/>
      <c r="TQV3" s="964"/>
      <c r="TQW3" s="964"/>
      <c r="TQX3" s="964"/>
      <c r="TQY3" s="964"/>
      <c r="TQZ3" s="964"/>
      <c r="TRA3" s="964"/>
      <c r="TRB3" s="964"/>
      <c r="TRC3" s="964"/>
      <c r="TRD3" s="964"/>
      <c r="TRE3" s="964"/>
      <c r="TRF3" s="964"/>
      <c r="TRG3" s="964"/>
      <c r="TRH3" s="964"/>
      <c r="TRI3" s="964"/>
      <c r="TRJ3" s="964"/>
      <c r="TRK3" s="964"/>
      <c r="TRL3" s="964"/>
      <c r="TRM3" s="964"/>
      <c r="TRN3" s="964"/>
      <c r="TRO3" s="964"/>
      <c r="TRP3" s="964"/>
      <c r="TRQ3" s="964"/>
      <c r="TRR3" s="964"/>
      <c r="TRS3" s="964"/>
      <c r="TRT3" s="964"/>
      <c r="TRU3" s="964"/>
      <c r="TRV3" s="964"/>
      <c r="TRW3" s="964"/>
      <c r="TRX3" s="964"/>
      <c r="TRY3" s="964"/>
      <c r="TRZ3" s="964"/>
      <c r="TSA3" s="964"/>
      <c r="TSB3" s="964"/>
      <c r="TSC3" s="964"/>
      <c r="TSD3" s="964"/>
      <c r="TSE3" s="964"/>
      <c r="TSF3" s="964"/>
      <c r="TSG3" s="964"/>
      <c r="TSH3" s="964"/>
      <c r="TSI3" s="964"/>
      <c r="TSJ3" s="964"/>
      <c r="TSK3" s="964"/>
      <c r="TSL3" s="964"/>
      <c r="TSM3" s="964"/>
      <c r="TSN3" s="964"/>
      <c r="TSO3" s="964"/>
      <c r="TSP3" s="964"/>
      <c r="TSQ3" s="964"/>
      <c r="TSR3" s="964"/>
      <c r="TSS3" s="964"/>
      <c r="TST3" s="964"/>
      <c r="TSU3" s="964"/>
      <c r="TSV3" s="964"/>
      <c r="TSW3" s="964"/>
      <c r="TSX3" s="964"/>
      <c r="TSY3" s="964"/>
      <c r="TSZ3" s="964"/>
      <c r="TTA3" s="964"/>
      <c r="TTB3" s="964"/>
      <c r="TTC3" s="964"/>
      <c r="TTD3" s="964"/>
      <c r="TTE3" s="964"/>
      <c r="TTF3" s="964"/>
      <c r="TTG3" s="964"/>
      <c r="TTH3" s="964"/>
      <c r="TTI3" s="964"/>
      <c r="TTJ3" s="964"/>
      <c r="TTK3" s="964"/>
      <c r="TTL3" s="964"/>
      <c r="TTM3" s="964"/>
      <c r="TTN3" s="964"/>
      <c r="TTO3" s="964"/>
      <c r="TTP3" s="964"/>
      <c r="TTQ3" s="964"/>
      <c r="TTR3" s="964"/>
      <c r="TTS3" s="964"/>
      <c r="TTT3" s="964"/>
      <c r="TTU3" s="964"/>
      <c r="TTV3" s="964"/>
      <c r="TTW3" s="964"/>
      <c r="TTX3" s="964"/>
      <c r="TTY3" s="964"/>
      <c r="TTZ3" s="964"/>
      <c r="TUA3" s="964"/>
      <c r="TUB3" s="964"/>
      <c r="TUC3" s="964"/>
      <c r="TUD3" s="964"/>
      <c r="TUE3" s="964"/>
      <c r="TUF3" s="964"/>
      <c r="TUG3" s="964"/>
      <c r="TUH3" s="964"/>
      <c r="TUI3" s="964"/>
      <c r="TUJ3" s="964"/>
      <c r="TUK3" s="964"/>
      <c r="TUL3" s="964"/>
      <c r="TUM3" s="964"/>
      <c r="TUN3" s="964"/>
      <c r="TUO3" s="964"/>
      <c r="TUP3" s="964"/>
      <c r="TUQ3" s="964"/>
      <c r="TUR3" s="964"/>
      <c r="TUS3" s="964"/>
      <c r="TUT3" s="964"/>
      <c r="TUU3" s="964"/>
      <c r="TUV3" s="964"/>
      <c r="TUW3" s="964"/>
      <c r="TUX3" s="964"/>
      <c r="TUY3" s="964"/>
      <c r="TUZ3" s="964"/>
      <c r="TVA3" s="964"/>
      <c r="TVB3" s="964"/>
      <c r="TVC3" s="964"/>
      <c r="TVD3" s="964"/>
      <c r="TVE3" s="964"/>
      <c r="TVF3" s="964"/>
      <c r="TVG3" s="964"/>
      <c r="TVH3" s="964"/>
      <c r="TVI3" s="964"/>
      <c r="TVJ3" s="964"/>
      <c r="TVK3" s="964"/>
      <c r="TVL3" s="964"/>
      <c r="TVM3" s="964"/>
      <c r="TVN3" s="964"/>
      <c r="TVO3" s="964"/>
      <c r="TVP3" s="964"/>
      <c r="TVQ3" s="964"/>
      <c r="TVR3" s="964"/>
      <c r="TVS3" s="964"/>
      <c r="TVT3" s="964"/>
      <c r="TVU3" s="964"/>
      <c r="TVV3" s="964"/>
      <c r="TVW3" s="964"/>
      <c r="TVX3" s="964"/>
      <c r="TVY3" s="964"/>
      <c r="TVZ3" s="964"/>
      <c r="TWA3" s="964"/>
      <c r="TWB3" s="964"/>
      <c r="TWC3" s="964"/>
      <c r="TWD3" s="964"/>
      <c r="TWE3" s="964"/>
      <c r="TWF3" s="964"/>
      <c r="TWG3" s="964"/>
      <c r="TWH3" s="964"/>
      <c r="TWI3" s="964"/>
      <c r="TWJ3" s="964"/>
      <c r="TWK3" s="964"/>
      <c r="TWL3" s="964"/>
      <c r="TWM3" s="964"/>
      <c r="TWN3" s="964"/>
      <c r="TWO3" s="964"/>
      <c r="TWP3" s="964"/>
      <c r="TWQ3" s="964"/>
      <c r="TWR3" s="964"/>
      <c r="TWS3" s="964"/>
      <c r="TWT3" s="964"/>
      <c r="TWU3" s="964"/>
      <c r="TWV3" s="964"/>
      <c r="TWW3" s="964"/>
      <c r="TWX3" s="964"/>
      <c r="TWY3" s="964"/>
      <c r="TWZ3" s="964"/>
      <c r="TXA3" s="964"/>
      <c r="TXB3" s="964"/>
      <c r="TXC3" s="964"/>
      <c r="TXD3" s="964"/>
      <c r="TXE3" s="964"/>
      <c r="TXF3" s="964"/>
      <c r="TXG3" s="964"/>
      <c r="TXH3" s="964"/>
      <c r="TXI3" s="964"/>
      <c r="TXJ3" s="964"/>
      <c r="TXK3" s="964"/>
      <c r="TXL3" s="964"/>
      <c r="TXM3" s="964"/>
      <c r="TXN3" s="964"/>
      <c r="TXO3" s="964"/>
      <c r="TXP3" s="964"/>
      <c r="TXQ3" s="964"/>
      <c r="TXR3" s="964"/>
      <c r="TXS3" s="964"/>
      <c r="TXT3" s="964"/>
      <c r="TXU3" s="964"/>
      <c r="TXV3" s="964"/>
      <c r="TXW3" s="964"/>
      <c r="TXX3" s="964"/>
      <c r="TXY3" s="964"/>
      <c r="TXZ3" s="964"/>
      <c r="TYA3" s="964"/>
      <c r="TYB3" s="964"/>
      <c r="TYC3" s="964"/>
      <c r="TYD3" s="964"/>
      <c r="TYE3" s="964"/>
      <c r="TYF3" s="964"/>
      <c r="TYG3" s="964"/>
      <c r="TYH3" s="964"/>
      <c r="TYI3" s="964"/>
      <c r="TYJ3" s="964"/>
      <c r="TYK3" s="964"/>
      <c r="TYL3" s="964"/>
      <c r="TYM3" s="964"/>
      <c r="TYN3" s="964"/>
      <c r="TYO3" s="964"/>
      <c r="TYP3" s="964"/>
      <c r="TYQ3" s="964"/>
      <c r="TYR3" s="964"/>
      <c r="TYS3" s="964"/>
      <c r="TYT3" s="964"/>
      <c r="TYU3" s="964"/>
      <c r="TYV3" s="964"/>
      <c r="TYW3" s="964"/>
      <c r="TYX3" s="964"/>
      <c r="TYY3" s="964"/>
      <c r="TYZ3" s="964"/>
      <c r="TZA3" s="964"/>
      <c r="TZB3" s="964"/>
      <c r="TZC3" s="964"/>
      <c r="TZD3" s="964"/>
      <c r="TZE3" s="964"/>
      <c r="TZF3" s="964"/>
      <c r="TZG3" s="964"/>
      <c r="TZH3" s="964"/>
      <c r="TZI3" s="964"/>
      <c r="TZJ3" s="964"/>
      <c r="TZK3" s="964"/>
      <c r="TZL3" s="964"/>
      <c r="TZM3" s="964"/>
      <c r="TZN3" s="964"/>
      <c r="TZO3" s="964"/>
      <c r="TZP3" s="964"/>
      <c r="TZQ3" s="964"/>
      <c r="TZR3" s="964"/>
      <c r="TZS3" s="964"/>
      <c r="TZT3" s="964"/>
      <c r="TZU3" s="964"/>
      <c r="TZV3" s="964"/>
      <c r="TZW3" s="964"/>
      <c r="TZX3" s="964"/>
      <c r="TZY3" s="964"/>
      <c r="TZZ3" s="964"/>
      <c r="UAA3" s="964"/>
      <c r="UAB3" s="964"/>
      <c r="UAC3" s="964"/>
      <c r="UAD3" s="964"/>
      <c r="UAE3" s="964"/>
      <c r="UAF3" s="964"/>
      <c r="UAG3" s="964"/>
      <c r="UAH3" s="964"/>
      <c r="UAI3" s="964"/>
      <c r="UAJ3" s="964"/>
      <c r="UAK3" s="964"/>
      <c r="UAL3" s="964"/>
      <c r="UAM3" s="964"/>
      <c r="UAN3" s="964"/>
      <c r="UAO3" s="964"/>
      <c r="UAP3" s="964"/>
      <c r="UAQ3" s="964"/>
      <c r="UAR3" s="964"/>
      <c r="UAS3" s="964"/>
      <c r="UAT3" s="964"/>
      <c r="UAU3" s="964"/>
      <c r="UAV3" s="964"/>
      <c r="UAW3" s="964"/>
      <c r="UAX3" s="964"/>
      <c r="UAY3" s="964"/>
      <c r="UAZ3" s="964"/>
      <c r="UBA3" s="964"/>
      <c r="UBB3" s="964"/>
      <c r="UBC3" s="964"/>
      <c r="UBD3" s="964"/>
      <c r="UBE3" s="964"/>
      <c r="UBF3" s="964"/>
      <c r="UBG3" s="964"/>
      <c r="UBH3" s="964"/>
      <c r="UBI3" s="964"/>
      <c r="UBJ3" s="964"/>
      <c r="UBK3" s="964"/>
      <c r="UBL3" s="964"/>
      <c r="UBM3" s="964"/>
      <c r="UBN3" s="964"/>
      <c r="UBO3" s="964"/>
      <c r="UBP3" s="964"/>
      <c r="UBQ3" s="964"/>
      <c r="UBR3" s="964"/>
      <c r="UBS3" s="964"/>
      <c r="UBT3" s="964"/>
      <c r="UBU3" s="964"/>
      <c r="UBV3" s="964"/>
      <c r="UBW3" s="964"/>
      <c r="UBX3" s="964"/>
      <c r="UBY3" s="964"/>
      <c r="UBZ3" s="964"/>
      <c r="UCA3" s="964"/>
      <c r="UCB3" s="964"/>
      <c r="UCC3" s="964"/>
      <c r="UCD3" s="964"/>
      <c r="UCE3" s="964"/>
      <c r="UCF3" s="964"/>
      <c r="UCG3" s="964"/>
      <c r="UCH3" s="964"/>
      <c r="UCI3" s="964"/>
      <c r="UCJ3" s="964"/>
      <c r="UCK3" s="964"/>
      <c r="UCL3" s="964"/>
      <c r="UCM3" s="964"/>
      <c r="UCN3" s="964"/>
      <c r="UCO3" s="964"/>
      <c r="UCP3" s="964"/>
      <c r="UCQ3" s="964"/>
      <c r="UCR3" s="964"/>
      <c r="UCS3" s="964"/>
      <c r="UCT3" s="964"/>
      <c r="UCU3" s="964"/>
      <c r="UCV3" s="964"/>
      <c r="UCW3" s="964"/>
      <c r="UCX3" s="964"/>
      <c r="UCY3" s="964"/>
      <c r="UCZ3" s="964"/>
      <c r="UDA3" s="964"/>
      <c r="UDB3" s="964"/>
      <c r="UDC3" s="964"/>
      <c r="UDD3" s="964"/>
      <c r="UDE3" s="964"/>
      <c r="UDF3" s="964"/>
      <c r="UDG3" s="964"/>
      <c r="UDH3" s="964"/>
      <c r="UDI3" s="964"/>
      <c r="UDJ3" s="964"/>
      <c r="UDK3" s="964"/>
      <c r="UDL3" s="964"/>
      <c r="UDM3" s="964"/>
      <c r="UDN3" s="964"/>
      <c r="UDO3" s="964"/>
      <c r="UDP3" s="964"/>
      <c r="UDQ3" s="964"/>
      <c r="UDR3" s="964"/>
      <c r="UDS3" s="964"/>
      <c r="UDT3" s="964"/>
      <c r="UDU3" s="964"/>
      <c r="UDV3" s="964"/>
      <c r="UDW3" s="964"/>
      <c r="UDX3" s="964"/>
      <c r="UDY3" s="964"/>
      <c r="UDZ3" s="964"/>
      <c r="UEA3" s="964"/>
      <c r="UEB3" s="964"/>
      <c r="UEC3" s="964"/>
      <c r="UED3" s="964"/>
      <c r="UEE3" s="964"/>
      <c r="UEF3" s="964"/>
      <c r="UEG3" s="964"/>
      <c r="UEH3" s="964"/>
      <c r="UEI3" s="964"/>
      <c r="UEJ3" s="964"/>
      <c r="UEK3" s="964"/>
      <c r="UEL3" s="964"/>
      <c r="UEM3" s="964"/>
      <c r="UEN3" s="964"/>
      <c r="UEO3" s="964"/>
      <c r="UEP3" s="964"/>
      <c r="UEQ3" s="964"/>
      <c r="UER3" s="964"/>
      <c r="UES3" s="964"/>
      <c r="UET3" s="964"/>
      <c r="UEU3" s="964"/>
      <c r="UEV3" s="964"/>
      <c r="UEW3" s="964"/>
      <c r="UEX3" s="964"/>
      <c r="UEY3" s="964"/>
      <c r="UEZ3" s="964"/>
      <c r="UFA3" s="964"/>
      <c r="UFB3" s="964"/>
      <c r="UFC3" s="964"/>
      <c r="UFD3" s="964"/>
      <c r="UFE3" s="964"/>
      <c r="UFF3" s="964"/>
      <c r="UFG3" s="964"/>
      <c r="UFH3" s="964"/>
      <c r="UFI3" s="964"/>
      <c r="UFJ3" s="964"/>
      <c r="UFK3" s="964"/>
      <c r="UFL3" s="964"/>
      <c r="UFM3" s="964"/>
      <c r="UFN3" s="964"/>
      <c r="UFO3" s="964"/>
      <c r="UFP3" s="964"/>
      <c r="UFQ3" s="964"/>
      <c r="UFR3" s="964"/>
      <c r="UFS3" s="964"/>
      <c r="UFT3" s="964"/>
      <c r="UFU3" s="964"/>
      <c r="UFV3" s="964"/>
      <c r="UFW3" s="964"/>
      <c r="UFX3" s="964"/>
      <c r="UFY3" s="964"/>
      <c r="UFZ3" s="964"/>
      <c r="UGA3" s="964"/>
      <c r="UGB3" s="964"/>
      <c r="UGC3" s="964"/>
      <c r="UGD3" s="964"/>
      <c r="UGE3" s="964"/>
      <c r="UGF3" s="964"/>
      <c r="UGG3" s="964"/>
      <c r="UGH3" s="964"/>
      <c r="UGI3" s="964"/>
      <c r="UGJ3" s="964"/>
      <c r="UGK3" s="964"/>
      <c r="UGL3" s="964"/>
      <c r="UGM3" s="964"/>
      <c r="UGN3" s="964"/>
      <c r="UGO3" s="964"/>
      <c r="UGP3" s="964"/>
      <c r="UGQ3" s="964"/>
      <c r="UGR3" s="964"/>
      <c r="UGS3" s="964"/>
      <c r="UGT3" s="964"/>
      <c r="UGU3" s="964"/>
      <c r="UGV3" s="964"/>
      <c r="UGW3" s="964"/>
      <c r="UGX3" s="964"/>
      <c r="UGY3" s="964"/>
      <c r="UGZ3" s="964"/>
      <c r="UHA3" s="964"/>
      <c r="UHB3" s="964"/>
      <c r="UHC3" s="964"/>
      <c r="UHD3" s="964"/>
      <c r="UHE3" s="964"/>
      <c r="UHF3" s="964"/>
      <c r="UHG3" s="964"/>
      <c r="UHH3" s="964"/>
      <c r="UHI3" s="964"/>
      <c r="UHJ3" s="964"/>
      <c r="UHK3" s="964"/>
      <c r="UHL3" s="964"/>
      <c r="UHM3" s="964"/>
      <c r="UHN3" s="964"/>
      <c r="UHO3" s="964"/>
      <c r="UHP3" s="964"/>
      <c r="UHQ3" s="964"/>
      <c r="UHR3" s="964"/>
      <c r="UHS3" s="964"/>
      <c r="UHT3" s="964"/>
      <c r="UHU3" s="964"/>
      <c r="UHV3" s="964"/>
      <c r="UHW3" s="964"/>
      <c r="UHX3" s="964"/>
      <c r="UHY3" s="964"/>
      <c r="UHZ3" s="964"/>
      <c r="UIA3" s="964"/>
      <c r="UIB3" s="964"/>
      <c r="UIC3" s="964"/>
      <c r="UID3" s="964"/>
      <c r="UIE3" s="964"/>
      <c r="UIF3" s="964"/>
      <c r="UIG3" s="964"/>
      <c r="UIH3" s="964"/>
      <c r="UII3" s="964"/>
      <c r="UIJ3" s="964"/>
      <c r="UIK3" s="964"/>
      <c r="UIL3" s="964"/>
      <c r="UIM3" s="964"/>
      <c r="UIN3" s="964"/>
      <c r="UIO3" s="964"/>
      <c r="UIP3" s="964"/>
      <c r="UIQ3" s="964"/>
      <c r="UIR3" s="964"/>
      <c r="UIS3" s="964"/>
      <c r="UIT3" s="964"/>
      <c r="UIU3" s="964"/>
      <c r="UIV3" s="964"/>
      <c r="UIW3" s="964"/>
      <c r="UIX3" s="964"/>
      <c r="UIY3" s="964"/>
      <c r="UIZ3" s="964"/>
      <c r="UJA3" s="964"/>
      <c r="UJB3" s="964"/>
      <c r="UJC3" s="964"/>
      <c r="UJD3" s="964"/>
      <c r="UJE3" s="964"/>
      <c r="UJF3" s="964"/>
      <c r="UJG3" s="964"/>
      <c r="UJH3" s="964"/>
      <c r="UJI3" s="964"/>
      <c r="UJJ3" s="964"/>
      <c r="UJK3" s="964"/>
      <c r="UJL3" s="964"/>
      <c r="UJM3" s="964"/>
      <c r="UJN3" s="964"/>
      <c r="UJO3" s="964"/>
      <c r="UJP3" s="964"/>
      <c r="UJQ3" s="964"/>
      <c r="UJR3" s="964"/>
      <c r="UJS3" s="964"/>
      <c r="UJT3" s="964"/>
      <c r="UJU3" s="964"/>
      <c r="UJV3" s="964"/>
      <c r="UJW3" s="964"/>
      <c r="UJX3" s="964"/>
      <c r="UJY3" s="964"/>
      <c r="UJZ3" s="964"/>
      <c r="UKA3" s="964"/>
      <c r="UKB3" s="964"/>
      <c r="UKC3" s="964"/>
      <c r="UKD3" s="964"/>
      <c r="UKE3" s="964"/>
      <c r="UKF3" s="964"/>
      <c r="UKG3" s="964"/>
      <c r="UKH3" s="964"/>
      <c r="UKI3" s="964"/>
      <c r="UKJ3" s="964"/>
      <c r="UKK3" s="964"/>
      <c r="UKL3" s="964"/>
      <c r="UKM3" s="964"/>
      <c r="UKN3" s="964"/>
      <c r="UKO3" s="964"/>
      <c r="UKP3" s="964"/>
      <c r="UKQ3" s="964"/>
      <c r="UKR3" s="964"/>
      <c r="UKS3" s="964"/>
      <c r="UKT3" s="964"/>
      <c r="UKU3" s="964"/>
      <c r="UKV3" s="964"/>
      <c r="UKW3" s="964"/>
      <c r="UKX3" s="964"/>
      <c r="UKY3" s="964"/>
      <c r="UKZ3" s="964"/>
      <c r="ULA3" s="964"/>
      <c r="ULB3" s="964"/>
      <c r="ULC3" s="964"/>
      <c r="ULD3" s="964"/>
      <c r="ULE3" s="964"/>
      <c r="ULF3" s="964"/>
      <c r="ULG3" s="964"/>
      <c r="ULH3" s="964"/>
      <c r="ULI3" s="964"/>
      <c r="ULJ3" s="964"/>
      <c r="ULK3" s="964"/>
      <c r="ULL3" s="964"/>
      <c r="ULM3" s="964"/>
      <c r="ULN3" s="964"/>
      <c r="ULO3" s="964"/>
      <c r="ULP3" s="964"/>
      <c r="ULQ3" s="964"/>
      <c r="ULR3" s="964"/>
      <c r="ULS3" s="964"/>
      <c r="ULT3" s="964"/>
      <c r="ULU3" s="964"/>
      <c r="ULV3" s="964"/>
      <c r="ULW3" s="964"/>
      <c r="ULX3" s="964"/>
      <c r="ULY3" s="964"/>
      <c r="ULZ3" s="964"/>
      <c r="UMA3" s="964"/>
      <c r="UMB3" s="964"/>
      <c r="UMC3" s="964"/>
      <c r="UMD3" s="964"/>
      <c r="UME3" s="964"/>
      <c r="UMF3" s="964"/>
      <c r="UMG3" s="964"/>
      <c r="UMH3" s="964"/>
      <c r="UMI3" s="964"/>
      <c r="UMJ3" s="964"/>
      <c r="UMK3" s="964"/>
      <c r="UML3" s="964"/>
      <c r="UMM3" s="964"/>
      <c r="UMN3" s="964"/>
      <c r="UMO3" s="964"/>
      <c r="UMP3" s="964"/>
      <c r="UMQ3" s="964"/>
      <c r="UMR3" s="964"/>
      <c r="UMS3" s="964"/>
      <c r="UMT3" s="964"/>
      <c r="UMU3" s="964"/>
      <c r="UMV3" s="964"/>
      <c r="UMW3" s="964"/>
      <c r="UMX3" s="964"/>
      <c r="UMY3" s="964"/>
      <c r="UMZ3" s="964"/>
      <c r="UNA3" s="964"/>
      <c r="UNB3" s="964"/>
      <c r="UNC3" s="964"/>
      <c r="UND3" s="964"/>
      <c r="UNE3" s="964"/>
      <c r="UNF3" s="964"/>
      <c r="UNG3" s="964"/>
      <c r="UNH3" s="964"/>
      <c r="UNI3" s="964"/>
      <c r="UNJ3" s="964"/>
      <c r="UNK3" s="964"/>
      <c r="UNL3" s="964"/>
      <c r="UNM3" s="964"/>
      <c r="UNN3" s="964"/>
      <c r="UNO3" s="964"/>
      <c r="UNP3" s="964"/>
      <c r="UNQ3" s="964"/>
      <c r="UNR3" s="964"/>
      <c r="UNS3" s="964"/>
      <c r="UNT3" s="964"/>
      <c r="UNU3" s="964"/>
      <c r="UNV3" s="964"/>
      <c r="UNW3" s="964"/>
      <c r="UNX3" s="964"/>
      <c r="UNY3" s="964"/>
      <c r="UNZ3" s="964"/>
      <c r="UOA3" s="964"/>
      <c r="UOB3" s="964"/>
      <c r="UOC3" s="964"/>
      <c r="UOD3" s="964"/>
      <c r="UOE3" s="964"/>
      <c r="UOF3" s="964"/>
      <c r="UOG3" s="964"/>
      <c r="UOH3" s="964"/>
      <c r="UOI3" s="964"/>
      <c r="UOJ3" s="964"/>
      <c r="UOK3" s="964"/>
      <c r="UOL3" s="964"/>
      <c r="UOM3" s="964"/>
      <c r="UON3" s="964"/>
      <c r="UOO3" s="964"/>
      <c r="UOP3" s="964"/>
      <c r="UOQ3" s="964"/>
      <c r="UOR3" s="964"/>
      <c r="UOS3" s="964"/>
      <c r="UOT3" s="964"/>
      <c r="UOU3" s="964"/>
      <c r="UOV3" s="964"/>
      <c r="UOW3" s="964"/>
      <c r="UOX3" s="964"/>
      <c r="UOY3" s="964"/>
      <c r="UOZ3" s="964"/>
      <c r="UPA3" s="964"/>
      <c r="UPB3" s="964"/>
      <c r="UPC3" s="964"/>
      <c r="UPD3" s="964"/>
      <c r="UPE3" s="964"/>
      <c r="UPF3" s="964"/>
      <c r="UPG3" s="964"/>
      <c r="UPH3" s="964"/>
      <c r="UPI3" s="964"/>
      <c r="UPJ3" s="964"/>
      <c r="UPK3" s="964"/>
      <c r="UPL3" s="964"/>
      <c r="UPM3" s="964"/>
      <c r="UPN3" s="964"/>
      <c r="UPO3" s="964"/>
      <c r="UPP3" s="964"/>
      <c r="UPQ3" s="964"/>
      <c r="UPR3" s="964"/>
      <c r="UPS3" s="964"/>
      <c r="UPT3" s="964"/>
      <c r="UPU3" s="964"/>
      <c r="UPV3" s="964"/>
      <c r="UPW3" s="964"/>
      <c r="UPX3" s="964"/>
      <c r="UPY3" s="964"/>
      <c r="UPZ3" s="964"/>
      <c r="UQA3" s="964"/>
      <c r="UQB3" s="964"/>
      <c r="UQC3" s="964"/>
      <c r="UQD3" s="964"/>
      <c r="UQE3" s="964"/>
      <c r="UQF3" s="964"/>
      <c r="UQG3" s="964"/>
      <c r="UQH3" s="964"/>
      <c r="UQI3" s="964"/>
      <c r="UQJ3" s="964"/>
      <c r="UQK3" s="964"/>
      <c r="UQL3" s="964"/>
      <c r="UQM3" s="964"/>
      <c r="UQN3" s="964"/>
      <c r="UQO3" s="964"/>
      <c r="UQP3" s="964"/>
      <c r="UQQ3" s="964"/>
      <c r="UQR3" s="964"/>
      <c r="UQS3" s="964"/>
      <c r="UQT3" s="964"/>
      <c r="UQU3" s="964"/>
      <c r="UQV3" s="964"/>
      <c r="UQW3" s="964"/>
      <c r="UQX3" s="964"/>
      <c r="UQY3" s="964"/>
      <c r="UQZ3" s="964"/>
      <c r="URA3" s="964"/>
      <c r="URB3" s="964"/>
      <c r="URC3" s="964"/>
      <c r="URD3" s="964"/>
      <c r="URE3" s="964"/>
      <c r="URF3" s="964"/>
      <c r="URG3" s="964"/>
      <c r="URH3" s="964"/>
      <c r="URI3" s="964"/>
      <c r="URJ3" s="964"/>
      <c r="URK3" s="964"/>
      <c r="URL3" s="964"/>
      <c r="URM3" s="964"/>
      <c r="URN3" s="964"/>
      <c r="URO3" s="964"/>
      <c r="URP3" s="964"/>
      <c r="URQ3" s="964"/>
      <c r="URR3" s="964"/>
      <c r="URS3" s="964"/>
      <c r="URT3" s="964"/>
      <c r="URU3" s="964"/>
      <c r="URV3" s="964"/>
      <c r="URW3" s="964"/>
      <c r="URX3" s="964"/>
      <c r="URY3" s="964"/>
      <c r="URZ3" s="964"/>
      <c r="USA3" s="964"/>
      <c r="USB3" s="964"/>
      <c r="USC3" s="964"/>
      <c r="USD3" s="964"/>
      <c r="USE3" s="964"/>
      <c r="USF3" s="964"/>
      <c r="USG3" s="964"/>
      <c r="USH3" s="964"/>
      <c r="USI3" s="964"/>
      <c r="USJ3" s="964"/>
      <c r="USK3" s="964"/>
      <c r="USL3" s="964"/>
      <c r="USM3" s="964"/>
      <c r="USN3" s="964"/>
      <c r="USO3" s="964"/>
      <c r="USP3" s="964"/>
      <c r="USQ3" s="964"/>
      <c r="USR3" s="964"/>
      <c r="USS3" s="964"/>
      <c r="UST3" s="964"/>
      <c r="USU3" s="964"/>
      <c r="USV3" s="964"/>
      <c r="USW3" s="964"/>
      <c r="USX3" s="964"/>
      <c r="USY3" s="964"/>
      <c r="USZ3" s="964"/>
      <c r="UTA3" s="964"/>
      <c r="UTB3" s="964"/>
      <c r="UTC3" s="964"/>
      <c r="UTD3" s="964"/>
      <c r="UTE3" s="964"/>
      <c r="UTF3" s="964"/>
      <c r="UTG3" s="964"/>
      <c r="UTH3" s="964"/>
      <c r="UTI3" s="964"/>
      <c r="UTJ3" s="964"/>
      <c r="UTK3" s="964"/>
      <c r="UTL3" s="964"/>
      <c r="UTM3" s="964"/>
      <c r="UTN3" s="964"/>
      <c r="UTO3" s="964"/>
      <c r="UTP3" s="964"/>
      <c r="UTQ3" s="964"/>
      <c r="UTR3" s="964"/>
      <c r="UTS3" s="964"/>
      <c r="UTT3" s="964"/>
      <c r="UTU3" s="964"/>
      <c r="UTV3" s="964"/>
      <c r="UTW3" s="964"/>
      <c r="UTX3" s="964"/>
      <c r="UTY3" s="964"/>
      <c r="UTZ3" s="964"/>
      <c r="UUA3" s="964"/>
      <c r="UUB3" s="964"/>
      <c r="UUC3" s="964"/>
      <c r="UUD3" s="964"/>
      <c r="UUE3" s="964"/>
      <c r="UUF3" s="964"/>
      <c r="UUG3" s="964"/>
      <c r="UUH3" s="964"/>
      <c r="UUI3" s="964"/>
      <c r="UUJ3" s="964"/>
      <c r="UUK3" s="964"/>
      <c r="UUL3" s="964"/>
      <c r="UUM3" s="964"/>
      <c r="UUN3" s="964"/>
      <c r="UUO3" s="964"/>
      <c r="UUP3" s="964"/>
      <c r="UUQ3" s="964"/>
      <c r="UUR3" s="964"/>
      <c r="UUS3" s="964"/>
      <c r="UUT3" s="964"/>
      <c r="UUU3" s="964"/>
      <c r="UUV3" s="964"/>
      <c r="UUW3" s="964"/>
      <c r="UUX3" s="964"/>
      <c r="UUY3" s="964"/>
      <c r="UUZ3" s="964"/>
      <c r="UVA3" s="964"/>
      <c r="UVB3" s="964"/>
      <c r="UVC3" s="964"/>
      <c r="UVD3" s="964"/>
      <c r="UVE3" s="964"/>
      <c r="UVF3" s="964"/>
      <c r="UVG3" s="964"/>
      <c r="UVH3" s="964"/>
      <c r="UVI3" s="964"/>
      <c r="UVJ3" s="964"/>
      <c r="UVK3" s="964"/>
      <c r="UVL3" s="964"/>
      <c r="UVM3" s="964"/>
      <c r="UVN3" s="964"/>
      <c r="UVO3" s="964"/>
      <c r="UVP3" s="964"/>
      <c r="UVQ3" s="964"/>
      <c r="UVR3" s="964"/>
      <c r="UVS3" s="964"/>
      <c r="UVT3" s="964"/>
      <c r="UVU3" s="964"/>
      <c r="UVV3" s="964"/>
      <c r="UVW3" s="964"/>
      <c r="UVX3" s="964"/>
      <c r="UVY3" s="964"/>
      <c r="UVZ3" s="964"/>
      <c r="UWA3" s="964"/>
      <c r="UWB3" s="964"/>
      <c r="UWC3" s="964"/>
      <c r="UWD3" s="964"/>
      <c r="UWE3" s="964"/>
      <c r="UWF3" s="964"/>
      <c r="UWG3" s="964"/>
      <c r="UWH3" s="964"/>
      <c r="UWI3" s="964"/>
      <c r="UWJ3" s="964"/>
      <c r="UWK3" s="964"/>
      <c r="UWL3" s="964"/>
      <c r="UWM3" s="964"/>
      <c r="UWN3" s="964"/>
      <c r="UWO3" s="964"/>
      <c r="UWP3" s="964"/>
      <c r="UWQ3" s="964"/>
      <c r="UWR3" s="964"/>
      <c r="UWS3" s="964"/>
      <c r="UWT3" s="964"/>
      <c r="UWU3" s="964"/>
      <c r="UWV3" s="964"/>
      <c r="UWW3" s="964"/>
      <c r="UWX3" s="964"/>
      <c r="UWY3" s="964"/>
      <c r="UWZ3" s="964"/>
      <c r="UXA3" s="964"/>
      <c r="UXB3" s="964"/>
      <c r="UXC3" s="964"/>
      <c r="UXD3" s="964"/>
      <c r="UXE3" s="964"/>
      <c r="UXF3" s="964"/>
      <c r="UXG3" s="964"/>
      <c r="UXH3" s="964"/>
      <c r="UXI3" s="964"/>
      <c r="UXJ3" s="964"/>
      <c r="UXK3" s="964"/>
      <c r="UXL3" s="964"/>
      <c r="UXM3" s="964"/>
      <c r="UXN3" s="964"/>
      <c r="UXO3" s="964"/>
      <c r="UXP3" s="964"/>
      <c r="UXQ3" s="964"/>
      <c r="UXR3" s="964"/>
      <c r="UXS3" s="964"/>
      <c r="UXT3" s="964"/>
      <c r="UXU3" s="964"/>
      <c r="UXV3" s="964"/>
      <c r="UXW3" s="964"/>
      <c r="UXX3" s="964"/>
      <c r="UXY3" s="964"/>
      <c r="UXZ3" s="964"/>
      <c r="UYA3" s="964"/>
      <c r="UYB3" s="964"/>
      <c r="UYC3" s="964"/>
      <c r="UYD3" s="964"/>
      <c r="UYE3" s="964"/>
      <c r="UYF3" s="964"/>
      <c r="UYG3" s="964"/>
      <c r="UYH3" s="964"/>
      <c r="UYI3" s="964"/>
      <c r="UYJ3" s="964"/>
      <c r="UYK3" s="964"/>
      <c r="UYL3" s="964"/>
      <c r="UYM3" s="964"/>
      <c r="UYN3" s="964"/>
      <c r="UYO3" s="964"/>
      <c r="UYP3" s="964"/>
      <c r="UYQ3" s="964"/>
      <c r="UYR3" s="964"/>
      <c r="UYS3" s="964"/>
      <c r="UYT3" s="964"/>
      <c r="UYU3" s="964"/>
      <c r="UYV3" s="964"/>
      <c r="UYW3" s="964"/>
      <c r="UYX3" s="964"/>
      <c r="UYY3" s="964"/>
      <c r="UYZ3" s="964"/>
      <c r="UZA3" s="964"/>
      <c r="UZB3" s="964"/>
      <c r="UZC3" s="964"/>
      <c r="UZD3" s="964"/>
      <c r="UZE3" s="964"/>
      <c r="UZF3" s="964"/>
      <c r="UZG3" s="964"/>
      <c r="UZH3" s="964"/>
      <c r="UZI3" s="964"/>
      <c r="UZJ3" s="964"/>
      <c r="UZK3" s="964"/>
      <c r="UZL3" s="964"/>
      <c r="UZM3" s="964"/>
      <c r="UZN3" s="964"/>
      <c r="UZO3" s="964"/>
      <c r="UZP3" s="964"/>
      <c r="UZQ3" s="964"/>
      <c r="UZR3" s="964"/>
      <c r="UZS3" s="964"/>
      <c r="UZT3" s="964"/>
      <c r="UZU3" s="964"/>
      <c r="UZV3" s="964"/>
      <c r="UZW3" s="964"/>
      <c r="UZX3" s="964"/>
      <c r="UZY3" s="964"/>
      <c r="UZZ3" s="964"/>
      <c r="VAA3" s="964"/>
      <c r="VAB3" s="964"/>
      <c r="VAC3" s="964"/>
      <c r="VAD3" s="964"/>
      <c r="VAE3" s="964"/>
      <c r="VAF3" s="964"/>
      <c r="VAG3" s="964"/>
      <c r="VAH3" s="964"/>
      <c r="VAI3" s="964"/>
      <c r="VAJ3" s="964"/>
      <c r="VAK3" s="964"/>
      <c r="VAL3" s="964"/>
      <c r="VAM3" s="964"/>
      <c r="VAN3" s="964"/>
      <c r="VAO3" s="964"/>
      <c r="VAP3" s="964"/>
      <c r="VAQ3" s="964"/>
      <c r="VAR3" s="964"/>
      <c r="VAS3" s="964"/>
      <c r="VAT3" s="964"/>
      <c r="VAU3" s="964"/>
      <c r="VAV3" s="964"/>
      <c r="VAW3" s="964"/>
      <c r="VAX3" s="964"/>
      <c r="VAY3" s="964"/>
      <c r="VAZ3" s="964"/>
      <c r="VBA3" s="964"/>
      <c r="VBB3" s="964"/>
      <c r="VBC3" s="964"/>
      <c r="VBD3" s="964"/>
      <c r="VBE3" s="964"/>
      <c r="VBF3" s="964"/>
      <c r="VBG3" s="964"/>
      <c r="VBH3" s="964"/>
      <c r="VBI3" s="964"/>
      <c r="VBJ3" s="964"/>
      <c r="VBK3" s="964"/>
      <c r="VBL3" s="964"/>
      <c r="VBM3" s="964"/>
      <c r="VBN3" s="964"/>
      <c r="VBO3" s="964"/>
      <c r="VBP3" s="964"/>
      <c r="VBQ3" s="964"/>
      <c r="VBR3" s="964"/>
      <c r="VBS3" s="964"/>
      <c r="VBT3" s="964"/>
      <c r="VBU3" s="964"/>
      <c r="VBV3" s="964"/>
      <c r="VBW3" s="964"/>
      <c r="VBX3" s="964"/>
      <c r="VBY3" s="964"/>
      <c r="VBZ3" s="964"/>
      <c r="VCA3" s="964"/>
      <c r="VCB3" s="964"/>
      <c r="VCC3" s="964"/>
      <c r="VCD3" s="964"/>
      <c r="VCE3" s="964"/>
      <c r="VCF3" s="964"/>
      <c r="VCG3" s="964"/>
      <c r="VCH3" s="964"/>
      <c r="VCI3" s="964"/>
      <c r="VCJ3" s="964"/>
      <c r="VCK3" s="964"/>
      <c r="VCL3" s="964"/>
      <c r="VCM3" s="964"/>
      <c r="VCN3" s="964"/>
      <c r="VCO3" s="964"/>
      <c r="VCP3" s="964"/>
      <c r="VCQ3" s="964"/>
      <c r="VCR3" s="964"/>
      <c r="VCS3" s="964"/>
      <c r="VCT3" s="964"/>
      <c r="VCU3" s="964"/>
      <c r="VCV3" s="964"/>
      <c r="VCW3" s="964"/>
      <c r="VCX3" s="964"/>
      <c r="VCY3" s="964"/>
      <c r="VCZ3" s="964"/>
      <c r="VDA3" s="964"/>
      <c r="VDB3" s="964"/>
      <c r="VDC3" s="964"/>
      <c r="VDD3" s="964"/>
      <c r="VDE3" s="964"/>
      <c r="VDF3" s="964"/>
      <c r="VDG3" s="964"/>
      <c r="VDH3" s="964"/>
      <c r="VDI3" s="964"/>
      <c r="VDJ3" s="964"/>
      <c r="VDK3" s="964"/>
      <c r="VDL3" s="964"/>
      <c r="VDM3" s="964"/>
      <c r="VDN3" s="964"/>
      <c r="VDO3" s="964"/>
      <c r="VDP3" s="964"/>
      <c r="VDQ3" s="964"/>
      <c r="VDR3" s="964"/>
      <c r="VDS3" s="964"/>
      <c r="VDT3" s="964"/>
      <c r="VDU3" s="964"/>
      <c r="VDV3" s="964"/>
      <c r="VDW3" s="964"/>
      <c r="VDX3" s="964"/>
      <c r="VDY3" s="964"/>
      <c r="VDZ3" s="964"/>
      <c r="VEA3" s="964"/>
      <c r="VEB3" s="964"/>
      <c r="VEC3" s="964"/>
      <c r="VED3" s="964"/>
      <c r="VEE3" s="964"/>
      <c r="VEF3" s="964"/>
      <c r="VEG3" s="964"/>
      <c r="VEH3" s="964"/>
      <c r="VEI3" s="964"/>
      <c r="VEJ3" s="964"/>
      <c r="VEK3" s="964"/>
      <c r="VEL3" s="964"/>
      <c r="VEM3" s="964"/>
      <c r="VEN3" s="964"/>
      <c r="VEO3" s="964"/>
      <c r="VEP3" s="964"/>
      <c r="VEQ3" s="964"/>
      <c r="VER3" s="964"/>
      <c r="VES3" s="964"/>
      <c r="VET3" s="964"/>
      <c r="VEU3" s="964"/>
      <c r="VEV3" s="964"/>
      <c r="VEW3" s="964"/>
      <c r="VEX3" s="964"/>
      <c r="VEY3" s="964"/>
      <c r="VEZ3" s="964"/>
      <c r="VFA3" s="964"/>
      <c r="VFB3" s="964"/>
      <c r="VFC3" s="964"/>
      <c r="VFD3" s="964"/>
      <c r="VFE3" s="964"/>
      <c r="VFF3" s="964"/>
      <c r="VFG3" s="964"/>
      <c r="VFH3" s="964"/>
      <c r="VFI3" s="964"/>
      <c r="VFJ3" s="964"/>
      <c r="VFK3" s="964"/>
      <c r="VFL3" s="964"/>
      <c r="VFM3" s="964"/>
      <c r="VFN3" s="964"/>
      <c r="VFO3" s="964"/>
      <c r="VFP3" s="964"/>
      <c r="VFQ3" s="964"/>
      <c r="VFR3" s="964"/>
      <c r="VFS3" s="964"/>
      <c r="VFT3" s="964"/>
      <c r="VFU3" s="964"/>
      <c r="VFV3" s="964"/>
      <c r="VFW3" s="964"/>
      <c r="VFX3" s="964"/>
      <c r="VFY3" s="964"/>
      <c r="VFZ3" s="964"/>
      <c r="VGA3" s="964"/>
      <c r="VGB3" s="964"/>
      <c r="VGC3" s="964"/>
      <c r="VGD3" s="964"/>
      <c r="VGE3" s="964"/>
      <c r="VGF3" s="964"/>
      <c r="VGG3" s="964"/>
      <c r="VGH3" s="964"/>
      <c r="VGI3" s="964"/>
      <c r="VGJ3" s="964"/>
      <c r="VGK3" s="964"/>
      <c r="VGL3" s="964"/>
      <c r="VGM3" s="964"/>
      <c r="VGN3" s="964"/>
      <c r="VGO3" s="964"/>
      <c r="VGP3" s="964"/>
      <c r="VGQ3" s="964"/>
      <c r="VGR3" s="964"/>
      <c r="VGS3" s="964"/>
      <c r="VGT3" s="964"/>
      <c r="VGU3" s="964"/>
      <c r="VGV3" s="964"/>
      <c r="VGW3" s="964"/>
      <c r="VGX3" s="964"/>
      <c r="VGY3" s="964"/>
      <c r="VGZ3" s="964"/>
      <c r="VHA3" s="964"/>
      <c r="VHB3" s="964"/>
      <c r="VHC3" s="964"/>
      <c r="VHD3" s="964"/>
      <c r="VHE3" s="964"/>
      <c r="VHF3" s="964"/>
      <c r="VHG3" s="964"/>
      <c r="VHH3" s="964"/>
      <c r="VHI3" s="964"/>
      <c r="VHJ3" s="964"/>
      <c r="VHK3" s="964"/>
      <c r="VHL3" s="964"/>
      <c r="VHM3" s="964"/>
      <c r="VHN3" s="964"/>
      <c r="VHO3" s="964"/>
      <c r="VHP3" s="964"/>
      <c r="VHQ3" s="964"/>
      <c r="VHR3" s="964"/>
      <c r="VHS3" s="964"/>
      <c r="VHT3" s="964"/>
      <c r="VHU3" s="964"/>
      <c r="VHV3" s="964"/>
      <c r="VHW3" s="964"/>
      <c r="VHX3" s="964"/>
      <c r="VHY3" s="964"/>
      <c r="VHZ3" s="964"/>
      <c r="VIA3" s="964"/>
      <c r="VIB3" s="964"/>
      <c r="VIC3" s="964"/>
      <c r="VID3" s="964"/>
      <c r="VIE3" s="964"/>
      <c r="VIF3" s="964"/>
      <c r="VIG3" s="964"/>
      <c r="VIH3" s="964"/>
      <c r="VII3" s="964"/>
      <c r="VIJ3" s="964"/>
      <c r="VIK3" s="964"/>
      <c r="VIL3" s="964"/>
      <c r="VIM3" s="964"/>
      <c r="VIN3" s="964"/>
      <c r="VIO3" s="964"/>
      <c r="VIP3" s="964"/>
      <c r="VIQ3" s="964"/>
      <c r="VIR3" s="964"/>
      <c r="VIS3" s="964"/>
      <c r="VIT3" s="964"/>
      <c r="VIU3" s="964"/>
      <c r="VIV3" s="964"/>
      <c r="VIW3" s="964"/>
      <c r="VIX3" s="964"/>
      <c r="VIY3" s="964"/>
      <c r="VIZ3" s="964"/>
      <c r="VJA3" s="964"/>
      <c r="VJB3" s="964"/>
      <c r="VJC3" s="964"/>
      <c r="VJD3" s="964"/>
      <c r="VJE3" s="964"/>
      <c r="VJF3" s="964"/>
      <c r="VJG3" s="964"/>
      <c r="VJH3" s="964"/>
      <c r="VJI3" s="964"/>
      <c r="VJJ3" s="964"/>
      <c r="VJK3" s="964"/>
      <c r="VJL3" s="964"/>
      <c r="VJM3" s="964"/>
      <c r="VJN3" s="964"/>
      <c r="VJO3" s="964"/>
      <c r="VJP3" s="964"/>
      <c r="VJQ3" s="964"/>
      <c r="VJR3" s="964"/>
      <c r="VJS3" s="964"/>
      <c r="VJT3" s="964"/>
      <c r="VJU3" s="964"/>
      <c r="VJV3" s="964"/>
      <c r="VJW3" s="964"/>
      <c r="VJX3" s="964"/>
      <c r="VJY3" s="964"/>
      <c r="VJZ3" s="964"/>
      <c r="VKA3" s="964"/>
      <c r="VKB3" s="964"/>
      <c r="VKC3" s="964"/>
      <c r="VKD3" s="964"/>
      <c r="VKE3" s="964"/>
      <c r="VKF3" s="964"/>
      <c r="VKG3" s="964"/>
      <c r="VKH3" s="964"/>
      <c r="VKI3" s="964"/>
      <c r="VKJ3" s="964"/>
      <c r="VKK3" s="964"/>
      <c r="VKL3" s="964"/>
      <c r="VKM3" s="964"/>
      <c r="VKN3" s="964"/>
      <c r="VKO3" s="964"/>
      <c r="VKP3" s="964"/>
      <c r="VKQ3" s="964"/>
      <c r="VKR3" s="964"/>
      <c r="VKS3" s="964"/>
      <c r="VKT3" s="964"/>
      <c r="VKU3" s="964"/>
      <c r="VKV3" s="964"/>
      <c r="VKW3" s="964"/>
      <c r="VKX3" s="964"/>
      <c r="VKY3" s="964"/>
      <c r="VKZ3" s="964"/>
      <c r="VLA3" s="964"/>
      <c r="VLB3" s="964"/>
      <c r="VLC3" s="964"/>
      <c r="VLD3" s="964"/>
      <c r="VLE3" s="964"/>
      <c r="VLF3" s="964"/>
      <c r="VLG3" s="964"/>
      <c r="VLH3" s="964"/>
      <c r="VLI3" s="964"/>
      <c r="VLJ3" s="964"/>
      <c r="VLK3" s="964"/>
      <c r="VLL3" s="964"/>
      <c r="VLM3" s="964"/>
      <c r="VLN3" s="964"/>
      <c r="VLO3" s="964"/>
      <c r="VLP3" s="964"/>
      <c r="VLQ3" s="964"/>
      <c r="VLR3" s="964"/>
      <c r="VLS3" s="964"/>
      <c r="VLT3" s="964"/>
      <c r="VLU3" s="964"/>
      <c r="VLV3" s="964"/>
      <c r="VLW3" s="964"/>
      <c r="VLX3" s="964"/>
      <c r="VLY3" s="964"/>
      <c r="VLZ3" s="964"/>
      <c r="VMA3" s="964"/>
      <c r="VMB3" s="964"/>
      <c r="VMC3" s="964"/>
      <c r="VMD3" s="964"/>
      <c r="VME3" s="964"/>
      <c r="VMF3" s="964"/>
      <c r="VMG3" s="964"/>
      <c r="VMH3" s="964"/>
      <c r="VMI3" s="964"/>
      <c r="VMJ3" s="964"/>
      <c r="VMK3" s="964"/>
      <c r="VML3" s="964"/>
      <c r="VMM3" s="964"/>
      <c r="VMN3" s="964"/>
      <c r="VMO3" s="964"/>
      <c r="VMP3" s="964"/>
      <c r="VMQ3" s="964"/>
      <c r="VMR3" s="964"/>
      <c r="VMS3" s="964"/>
      <c r="VMT3" s="964"/>
      <c r="VMU3" s="964"/>
      <c r="VMV3" s="964"/>
      <c r="VMW3" s="964"/>
      <c r="VMX3" s="964"/>
      <c r="VMY3" s="964"/>
      <c r="VMZ3" s="964"/>
      <c r="VNA3" s="964"/>
      <c r="VNB3" s="964"/>
      <c r="VNC3" s="964"/>
      <c r="VND3" s="964"/>
      <c r="VNE3" s="964"/>
      <c r="VNF3" s="964"/>
      <c r="VNG3" s="964"/>
      <c r="VNH3" s="964"/>
      <c r="VNI3" s="964"/>
      <c r="VNJ3" s="964"/>
      <c r="VNK3" s="964"/>
      <c r="VNL3" s="964"/>
      <c r="VNM3" s="964"/>
      <c r="VNN3" s="964"/>
      <c r="VNO3" s="964"/>
      <c r="VNP3" s="964"/>
      <c r="VNQ3" s="964"/>
      <c r="VNR3" s="964"/>
      <c r="VNS3" s="964"/>
      <c r="VNT3" s="964"/>
      <c r="VNU3" s="964"/>
      <c r="VNV3" s="964"/>
      <c r="VNW3" s="964"/>
      <c r="VNX3" s="964"/>
      <c r="VNY3" s="964"/>
      <c r="VNZ3" s="964"/>
      <c r="VOA3" s="964"/>
      <c r="VOB3" s="964"/>
      <c r="VOC3" s="964"/>
      <c r="VOD3" s="964"/>
      <c r="VOE3" s="964"/>
      <c r="VOF3" s="964"/>
      <c r="VOG3" s="964"/>
      <c r="VOH3" s="964"/>
      <c r="VOI3" s="964"/>
      <c r="VOJ3" s="964"/>
      <c r="VOK3" s="964"/>
      <c r="VOL3" s="964"/>
      <c r="VOM3" s="964"/>
      <c r="VON3" s="964"/>
      <c r="VOO3" s="964"/>
      <c r="VOP3" s="964"/>
      <c r="VOQ3" s="964"/>
      <c r="VOR3" s="964"/>
      <c r="VOS3" s="964"/>
      <c r="VOT3" s="964"/>
      <c r="VOU3" s="964"/>
      <c r="VOV3" s="964"/>
      <c r="VOW3" s="964"/>
      <c r="VOX3" s="964"/>
      <c r="VOY3" s="964"/>
      <c r="VOZ3" s="964"/>
      <c r="VPA3" s="964"/>
      <c r="VPB3" s="964"/>
      <c r="VPC3" s="964"/>
      <c r="VPD3" s="964"/>
      <c r="VPE3" s="964"/>
      <c r="VPF3" s="964"/>
      <c r="VPG3" s="964"/>
      <c r="VPH3" s="964"/>
      <c r="VPI3" s="964"/>
      <c r="VPJ3" s="964"/>
      <c r="VPK3" s="964"/>
      <c r="VPL3" s="964"/>
      <c r="VPM3" s="964"/>
      <c r="VPN3" s="964"/>
      <c r="VPO3" s="964"/>
      <c r="VPP3" s="964"/>
      <c r="VPQ3" s="964"/>
      <c r="VPR3" s="964"/>
      <c r="VPS3" s="964"/>
      <c r="VPT3" s="964"/>
      <c r="VPU3" s="964"/>
      <c r="VPV3" s="964"/>
      <c r="VPW3" s="964"/>
      <c r="VPX3" s="964"/>
      <c r="VPY3" s="964"/>
      <c r="VPZ3" s="964"/>
      <c r="VQA3" s="964"/>
      <c r="VQB3" s="964"/>
      <c r="VQC3" s="964"/>
      <c r="VQD3" s="964"/>
      <c r="VQE3" s="964"/>
      <c r="VQF3" s="964"/>
      <c r="VQG3" s="964"/>
      <c r="VQH3" s="964"/>
      <c r="VQI3" s="964"/>
      <c r="VQJ3" s="964"/>
      <c r="VQK3" s="964"/>
      <c r="VQL3" s="964"/>
      <c r="VQM3" s="964"/>
      <c r="VQN3" s="964"/>
      <c r="VQO3" s="964"/>
      <c r="VQP3" s="964"/>
      <c r="VQQ3" s="964"/>
      <c r="VQR3" s="964"/>
      <c r="VQS3" s="964"/>
      <c r="VQT3" s="964"/>
      <c r="VQU3" s="964"/>
      <c r="VQV3" s="964"/>
      <c r="VQW3" s="964"/>
      <c r="VQX3" s="964"/>
      <c r="VQY3" s="964"/>
      <c r="VQZ3" s="964"/>
      <c r="VRA3" s="964"/>
      <c r="VRB3" s="964"/>
      <c r="VRC3" s="964"/>
      <c r="VRD3" s="964"/>
      <c r="VRE3" s="964"/>
      <c r="VRF3" s="964"/>
      <c r="VRG3" s="964"/>
      <c r="VRH3" s="964"/>
      <c r="VRI3" s="964"/>
      <c r="VRJ3" s="964"/>
      <c r="VRK3" s="964"/>
      <c r="VRL3" s="964"/>
      <c r="VRM3" s="964"/>
      <c r="VRN3" s="964"/>
      <c r="VRO3" s="964"/>
      <c r="VRP3" s="964"/>
      <c r="VRQ3" s="964"/>
      <c r="VRR3" s="964"/>
      <c r="VRS3" s="964"/>
      <c r="VRT3" s="964"/>
      <c r="VRU3" s="964"/>
      <c r="VRV3" s="964"/>
      <c r="VRW3" s="964"/>
      <c r="VRX3" s="964"/>
      <c r="VRY3" s="964"/>
      <c r="VRZ3" s="964"/>
      <c r="VSA3" s="964"/>
      <c r="VSB3" s="964"/>
      <c r="VSC3" s="964"/>
      <c r="VSD3" s="964"/>
      <c r="VSE3" s="964"/>
      <c r="VSF3" s="964"/>
      <c r="VSG3" s="964"/>
      <c r="VSH3" s="964"/>
      <c r="VSI3" s="964"/>
      <c r="VSJ3" s="964"/>
      <c r="VSK3" s="964"/>
      <c r="VSL3" s="964"/>
      <c r="VSM3" s="964"/>
      <c r="VSN3" s="964"/>
      <c r="VSO3" s="964"/>
      <c r="VSP3" s="964"/>
      <c r="VSQ3" s="964"/>
      <c r="VSR3" s="964"/>
      <c r="VSS3" s="964"/>
      <c r="VST3" s="964"/>
      <c r="VSU3" s="964"/>
      <c r="VSV3" s="964"/>
      <c r="VSW3" s="964"/>
      <c r="VSX3" s="964"/>
      <c r="VSY3" s="964"/>
      <c r="VSZ3" s="964"/>
      <c r="VTA3" s="964"/>
      <c r="VTB3" s="964"/>
      <c r="VTC3" s="964"/>
      <c r="VTD3" s="964"/>
      <c r="VTE3" s="964"/>
      <c r="VTF3" s="964"/>
      <c r="VTG3" s="964"/>
      <c r="VTH3" s="964"/>
      <c r="VTI3" s="964"/>
      <c r="VTJ3" s="964"/>
      <c r="VTK3" s="964"/>
      <c r="VTL3" s="964"/>
      <c r="VTM3" s="964"/>
      <c r="VTN3" s="964"/>
      <c r="VTO3" s="964"/>
      <c r="VTP3" s="964"/>
      <c r="VTQ3" s="964"/>
      <c r="VTR3" s="964"/>
      <c r="VTS3" s="964"/>
      <c r="VTT3" s="964"/>
      <c r="VTU3" s="964"/>
      <c r="VTV3" s="964"/>
      <c r="VTW3" s="964"/>
      <c r="VTX3" s="964"/>
      <c r="VTY3" s="964"/>
      <c r="VTZ3" s="964"/>
      <c r="VUA3" s="964"/>
      <c r="VUB3" s="964"/>
      <c r="VUC3" s="964"/>
      <c r="VUD3" s="964"/>
      <c r="VUE3" s="964"/>
      <c r="VUF3" s="964"/>
      <c r="VUG3" s="964"/>
      <c r="VUH3" s="964"/>
      <c r="VUI3" s="964"/>
      <c r="VUJ3" s="964"/>
      <c r="VUK3" s="964"/>
      <c r="VUL3" s="964"/>
      <c r="VUM3" s="964"/>
      <c r="VUN3" s="964"/>
      <c r="VUO3" s="964"/>
      <c r="VUP3" s="964"/>
      <c r="VUQ3" s="964"/>
      <c r="VUR3" s="964"/>
      <c r="VUS3" s="964"/>
      <c r="VUT3" s="964"/>
      <c r="VUU3" s="964"/>
      <c r="VUV3" s="964"/>
      <c r="VUW3" s="964"/>
      <c r="VUX3" s="964"/>
      <c r="VUY3" s="964"/>
      <c r="VUZ3" s="964"/>
      <c r="VVA3" s="964"/>
      <c r="VVB3" s="964"/>
      <c r="VVC3" s="964"/>
      <c r="VVD3" s="964"/>
      <c r="VVE3" s="964"/>
      <c r="VVF3" s="964"/>
      <c r="VVG3" s="964"/>
      <c r="VVH3" s="964"/>
      <c r="VVI3" s="964"/>
      <c r="VVJ3" s="964"/>
      <c r="VVK3" s="964"/>
      <c r="VVL3" s="964"/>
      <c r="VVM3" s="964"/>
      <c r="VVN3" s="964"/>
      <c r="VVO3" s="964"/>
      <c r="VVP3" s="964"/>
      <c r="VVQ3" s="964"/>
      <c r="VVR3" s="964"/>
      <c r="VVS3" s="964"/>
      <c r="VVT3" s="964"/>
      <c r="VVU3" s="964"/>
      <c r="VVV3" s="964"/>
      <c r="VVW3" s="964"/>
      <c r="VVX3" s="964"/>
      <c r="VVY3" s="964"/>
      <c r="VVZ3" s="964"/>
      <c r="VWA3" s="964"/>
      <c r="VWB3" s="964"/>
      <c r="VWC3" s="964"/>
      <c r="VWD3" s="964"/>
      <c r="VWE3" s="964"/>
      <c r="VWF3" s="964"/>
      <c r="VWG3" s="964"/>
      <c r="VWH3" s="964"/>
      <c r="VWI3" s="964"/>
      <c r="VWJ3" s="964"/>
      <c r="VWK3" s="964"/>
      <c r="VWL3" s="964"/>
      <c r="VWM3" s="964"/>
      <c r="VWN3" s="964"/>
      <c r="VWO3" s="964"/>
      <c r="VWP3" s="964"/>
      <c r="VWQ3" s="964"/>
      <c r="VWR3" s="964"/>
      <c r="VWS3" s="964"/>
      <c r="VWT3" s="964"/>
      <c r="VWU3" s="964"/>
      <c r="VWV3" s="964"/>
      <c r="VWW3" s="964"/>
      <c r="VWX3" s="964"/>
      <c r="VWY3" s="964"/>
      <c r="VWZ3" s="964"/>
      <c r="VXA3" s="964"/>
      <c r="VXB3" s="964"/>
      <c r="VXC3" s="964"/>
      <c r="VXD3" s="964"/>
      <c r="VXE3" s="964"/>
      <c r="VXF3" s="964"/>
      <c r="VXG3" s="964"/>
      <c r="VXH3" s="964"/>
      <c r="VXI3" s="964"/>
      <c r="VXJ3" s="964"/>
      <c r="VXK3" s="964"/>
      <c r="VXL3" s="964"/>
      <c r="VXM3" s="964"/>
      <c r="VXN3" s="964"/>
      <c r="VXO3" s="964"/>
      <c r="VXP3" s="964"/>
      <c r="VXQ3" s="964"/>
      <c r="VXR3" s="964"/>
      <c r="VXS3" s="964"/>
      <c r="VXT3" s="964"/>
      <c r="VXU3" s="964"/>
      <c r="VXV3" s="964"/>
      <c r="VXW3" s="964"/>
      <c r="VXX3" s="964"/>
      <c r="VXY3" s="964"/>
      <c r="VXZ3" s="964"/>
      <c r="VYA3" s="964"/>
      <c r="VYB3" s="964"/>
      <c r="VYC3" s="964"/>
      <c r="VYD3" s="964"/>
      <c r="VYE3" s="964"/>
      <c r="VYF3" s="964"/>
      <c r="VYG3" s="964"/>
      <c r="VYH3" s="964"/>
      <c r="VYI3" s="964"/>
      <c r="VYJ3" s="964"/>
      <c r="VYK3" s="964"/>
      <c r="VYL3" s="964"/>
      <c r="VYM3" s="964"/>
      <c r="VYN3" s="964"/>
      <c r="VYO3" s="964"/>
      <c r="VYP3" s="964"/>
      <c r="VYQ3" s="964"/>
      <c r="VYR3" s="964"/>
      <c r="VYS3" s="964"/>
      <c r="VYT3" s="964"/>
      <c r="VYU3" s="964"/>
      <c r="VYV3" s="964"/>
      <c r="VYW3" s="964"/>
      <c r="VYX3" s="964"/>
      <c r="VYY3" s="964"/>
      <c r="VYZ3" s="964"/>
      <c r="VZA3" s="964"/>
      <c r="VZB3" s="964"/>
      <c r="VZC3" s="964"/>
      <c r="VZD3" s="964"/>
      <c r="VZE3" s="964"/>
      <c r="VZF3" s="964"/>
      <c r="VZG3" s="964"/>
      <c r="VZH3" s="964"/>
      <c r="VZI3" s="964"/>
      <c r="VZJ3" s="964"/>
      <c r="VZK3" s="964"/>
      <c r="VZL3" s="964"/>
      <c r="VZM3" s="964"/>
      <c r="VZN3" s="964"/>
      <c r="VZO3" s="964"/>
      <c r="VZP3" s="964"/>
      <c r="VZQ3" s="964"/>
      <c r="VZR3" s="964"/>
      <c r="VZS3" s="964"/>
      <c r="VZT3" s="964"/>
      <c r="VZU3" s="964"/>
      <c r="VZV3" s="964"/>
      <c r="VZW3" s="964"/>
      <c r="VZX3" s="964"/>
      <c r="VZY3" s="964"/>
      <c r="VZZ3" s="964"/>
      <c r="WAA3" s="964"/>
      <c r="WAB3" s="964"/>
      <c r="WAC3" s="964"/>
      <c r="WAD3" s="964"/>
      <c r="WAE3" s="964"/>
      <c r="WAF3" s="964"/>
      <c r="WAG3" s="964"/>
      <c r="WAH3" s="964"/>
      <c r="WAI3" s="964"/>
      <c r="WAJ3" s="964"/>
      <c r="WAK3" s="964"/>
      <c r="WAL3" s="964"/>
      <c r="WAM3" s="964"/>
      <c r="WAN3" s="964"/>
      <c r="WAO3" s="964"/>
      <c r="WAP3" s="964"/>
      <c r="WAQ3" s="964"/>
      <c r="WAR3" s="964"/>
      <c r="WAS3" s="964"/>
      <c r="WAT3" s="964"/>
      <c r="WAU3" s="964"/>
      <c r="WAV3" s="964"/>
      <c r="WAW3" s="964"/>
      <c r="WAX3" s="964"/>
      <c r="WAY3" s="964"/>
      <c r="WAZ3" s="964"/>
      <c r="WBA3" s="964"/>
      <c r="WBB3" s="964"/>
      <c r="WBC3" s="964"/>
      <c r="WBD3" s="964"/>
      <c r="WBE3" s="964"/>
      <c r="WBF3" s="964"/>
      <c r="WBG3" s="964"/>
      <c r="WBH3" s="964"/>
      <c r="WBI3" s="964"/>
      <c r="WBJ3" s="964"/>
      <c r="WBK3" s="964"/>
      <c r="WBL3" s="964"/>
      <c r="WBM3" s="964"/>
      <c r="WBN3" s="964"/>
      <c r="WBO3" s="964"/>
      <c r="WBP3" s="964"/>
      <c r="WBQ3" s="964"/>
      <c r="WBR3" s="964"/>
      <c r="WBS3" s="964"/>
      <c r="WBT3" s="964"/>
      <c r="WBU3" s="964"/>
      <c r="WBV3" s="964"/>
      <c r="WBW3" s="964"/>
      <c r="WBX3" s="964"/>
      <c r="WBY3" s="964"/>
      <c r="WBZ3" s="964"/>
      <c r="WCA3" s="964"/>
      <c r="WCB3" s="964"/>
      <c r="WCC3" s="964"/>
      <c r="WCD3" s="964"/>
      <c r="WCE3" s="964"/>
      <c r="WCF3" s="964"/>
      <c r="WCG3" s="964"/>
      <c r="WCH3" s="964"/>
      <c r="WCI3" s="964"/>
      <c r="WCJ3" s="964"/>
      <c r="WCK3" s="964"/>
      <c r="WCL3" s="964"/>
      <c r="WCM3" s="964"/>
      <c r="WCN3" s="964"/>
      <c r="WCO3" s="964"/>
      <c r="WCP3" s="964"/>
      <c r="WCQ3" s="964"/>
      <c r="WCR3" s="964"/>
      <c r="WCS3" s="964"/>
      <c r="WCT3" s="964"/>
      <c r="WCU3" s="964"/>
      <c r="WCV3" s="964"/>
      <c r="WCW3" s="964"/>
      <c r="WCX3" s="964"/>
      <c r="WCY3" s="964"/>
      <c r="WCZ3" s="964"/>
      <c r="WDA3" s="964"/>
      <c r="WDB3" s="964"/>
      <c r="WDC3" s="964"/>
      <c r="WDD3" s="964"/>
      <c r="WDE3" s="964"/>
      <c r="WDF3" s="964"/>
      <c r="WDG3" s="964"/>
      <c r="WDH3" s="964"/>
      <c r="WDI3" s="964"/>
      <c r="WDJ3" s="964"/>
      <c r="WDK3" s="964"/>
      <c r="WDL3" s="964"/>
      <c r="WDM3" s="964"/>
      <c r="WDN3" s="964"/>
      <c r="WDO3" s="964"/>
      <c r="WDP3" s="964"/>
      <c r="WDQ3" s="964"/>
      <c r="WDR3" s="964"/>
      <c r="WDS3" s="964"/>
      <c r="WDT3" s="964"/>
      <c r="WDU3" s="964"/>
      <c r="WDV3" s="964"/>
      <c r="WDW3" s="964"/>
      <c r="WDX3" s="964"/>
      <c r="WDY3" s="964"/>
      <c r="WDZ3" s="964"/>
      <c r="WEA3" s="964"/>
      <c r="WEB3" s="964"/>
      <c r="WEC3" s="964"/>
      <c r="WED3" s="964"/>
      <c r="WEE3" s="964"/>
      <c r="WEF3" s="964"/>
      <c r="WEG3" s="964"/>
      <c r="WEH3" s="964"/>
      <c r="WEI3" s="964"/>
      <c r="WEJ3" s="964"/>
      <c r="WEK3" s="964"/>
      <c r="WEL3" s="964"/>
      <c r="WEM3" s="964"/>
      <c r="WEN3" s="964"/>
      <c r="WEO3" s="964"/>
      <c r="WEP3" s="964"/>
      <c r="WEQ3" s="964"/>
      <c r="WER3" s="964"/>
      <c r="WES3" s="964"/>
      <c r="WET3" s="964"/>
      <c r="WEU3" s="964"/>
      <c r="WEV3" s="964"/>
      <c r="WEW3" s="964"/>
      <c r="WEX3" s="964"/>
      <c r="WEY3" s="964"/>
      <c r="WEZ3" s="964"/>
      <c r="WFA3" s="964"/>
      <c r="WFB3" s="964"/>
      <c r="WFC3" s="964"/>
      <c r="WFD3" s="964"/>
      <c r="WFE3" s="964"/>
      <c r="WFF3" s="964"/>
      <c r="WFG3" s="964"/>
      <c r="WFH3" s="964"/>
      <c r="WFI3" s="964"/>
      <c r="WFJ3" s="964"/>
      <c r="WFK3" s="964"/>
      <c r="WFL3" s="964"/>
      <c r="WFM3" s="964"/>
      <c r="WFN3" s="964"/>
      <c r="WFO3" s="964"/>
      <c r="WFP3" s="964"/>
      <c r="WFQ3" s="964"/>
      <c r="WFR3" s="964"/>
      <c r="WFS3" s="964"/>
      <c r="WFT3" s="964"/>
      <c r="WFU3" s="964"/>
      <c r="WFV3" s="964"/>
      <c r="WFW3" s="964"/>
      <c r="WFX3" s="964"/>
      <c r="WFY3" s="964"/>
      <c r="WFZ3" s="964"/>
      <c r="WGA3" s="964"/>
      <c r="WGB3" s="964"/>
      <c r="WGC3" s="964"/>
      <c r="WGD3" s="964"/>
      <c r="WGE3" s="964"/>
      <c r="WGF3" s="964"/>
      <c r="WGG3" s="964"/>
      <c r="WGH3" s="964"/>
      <c r="WGI3" s="964"/>
      <c r="WGJ3" s="964"/>
      <c r="WGK3" s="964"/>
      <c r="WGL3" s="964"/>
      <c r="WGM3" s="964"/>
      <c r="WGN3" s="964"/>
      <c r="WGO3" s="964"/>
      <c r="WGP3" s="964"/>
      <c r="WGQ3" s="964"/>
      <c r="WGR3" s="964"/>
      <c r="WGS3" s="964"/>
      <c r="WGT3" s="964"/>
      <c r="WGU3" s="964"/>
      <c r="WGV3" s="964"/>
      <c r="WGW3" s="964"/>
      <c r="WGX3" s="964"/>
      <c r="WGY3" s="964"/>
      <c r="WGZ3" s="964"/>
      <c r="WHA3" s="964"/>
      <c r="WHB3" s="964"/>
      <c r="WHC3" s="964"/>
      <c r="WHD3" s="964"/>
      <c r="WHE3" s="964"/>
      <c r="WHF3" s="964"/>
      <c r="WHG3" s="964"/>
      <c r="WHH3" s="964"/>
      <c r="WHI3" s="964"/>
      <c r="WHJ3" s="964"/>
      <c r="WHK3" s="964"/>
      <c r="WHL3" s="964"/>
      <c r="WHM3" s="964"/>
      <c r="WHN3" s="964"/>
      <c r="WHO3" s="964"/>
      <c r="WHP3" s="964"/>
      <c r="WHQ3" s="964"/>
      <c r="WHR3" s="964"/>
      <c r="WHS3" s="964"/>
      <c r="WHT3" s="964"/>
      <c r="WHU3" s="964"/>
      <c r="WHV3" s="964"/>
      <c r="WHW3" s="964"/>
      <c r="WHX3" s="964"/>
      <c r="WHY3" s="964"/>
      <c r="WHZ3" s="964"/>
      <c r="WIA3" s="964"/>
      <c r="WIB3" s="964"/>
      <c r="WIC3" s="964"/>
      <c r="WID3" s="964"/>
      <c r="WIE3" s="964"/>
      <c r="WIF3" s="964"/>
      <c r="WIG3" s="964"/>
      <c r="WIH3" s="964"/>
      <c r="WII3" s="964"/>
      <c r="WIJ3" s="964"/>
      <c r="WIK3" s="964"/>
      <c r="WIL3" s="964"/>
      <c r="WIM3" s="964"/>
      <c r="WIN3" s="964"/>
      <c r="WIO3" s="964"/>
      <c r="WIP3" s="964"/>
      <c r="WIQ3" s="964"/>
      <c r="WIR3" s="964"/>
      <c r="WIS3" s="964"/>
      <c r="WIT3" s="964"/>
      <c r="WIU3" s="964"/>
      <c r="WIV3" s="964"/>
      <c r="WIW3" s="964"/>
      <c r="WIX3" s="964"/>
      <c r="WIY3" s="964"/>
      <c r="WIZ3" s="964"/>
      <c r="WJA3" s="964"/>
      <c r="WJB3" s="964"/>
      <c r="WJC3" s="964"/>
      <c r="WJD3" s="964"/>
      <c r="WJE3" s="964"/>
      <c r="WJF3" s="964"/>
      <c r="WJG3" s="964"/>
      <c r="WJH3" s="964"/>
      <c r="WJI3" s="964"/>
      <c r="WJJ3" s="964"/>
      <c r="WJK3" s="964"/>
      <c r="WJL3" s="964"/>
      <c r="WJM3" s="964"/>
      <c r="WJN3" s="964"/>
      <c r="WJO3" s="964"/>
      <c r="WJP3" s="964"/>
      <c r="WJQ3" s="964"/>
      <c r="WJR3" s="964"/>
      <c r="WJS3" s="964"/>
      <c r="WJT3" s="964"/>
      <c r="WJU3" s="964"/>
      <c r="WJV3" s="964"/>
      <c r="WJW3" s="964"/>
      <c r="WJX3" s="964"/>
      <c r="WJY3" s="964"/>
      <c r="WJZ3" s="964"/>
      <c r="WKA3" s="964"/>
      <c r="WKB3" s="964"/>
      <c r="WKC3" s="964"/>
      <c r="WKD3" s="964"/>
      <c r="WKE3" s="964"/>
      <c r="WKF3" s="964"/>
      <c r="WKG3" s="964"/>
      <c r="WKH3" s="964"/>
      <c r="WKI3" s="964"/>
      <c r="WKJ3" s="964"/>
      <c r="WKK3" s="964"/>
      <c r="WKL3" s="964"/>
      <c r="WKM3" s="964"/>
      <c r="WKN3" s="964"/>
      <c r="WKO3" s="964"/>
      <c r="WKP3" s="964"/>
      <c r="WKQ3" s="964"/>
      <c r="WKR3" s="964"/>
      <c r="WKS3" s="964"/>
      <c r="WKT3" s="964"/>
      <c r="WKU3" s="964"/>
      <c r="WKV3" s="964"/>
      <c r="WKW3" s="964"/>
      <c r="WKX3" s="964"/>
      <c r="WKY3" s="964"/>
      <c r="WKZ3" s="964"/>
      <c r="WLA3" s="964"/>
      <c r="WLB3" s="964"/>
      <c r="WLC3" s="964"/>
      <c r="WLD3" s="964"/>
      <c r="WLE3" s="964"/>
      <c r="WLF3" s="964"/>
      <c r="WLG3" s="964"/>
      <c r="WLH3" s="964"/>
      <c r="WLI3" s="964"/>
      <c r="WLJ3" s="964"/>
      <c r="WLK3" s="964"/>
      <c r="WLL3" s="964"/>
      <c r="WLM3" s="964"/>
      <c r="WLN3" s="964"/>
      <c r="WLO3" s="964"/>
      <c r="WLP3" s="964"/>
      <c r="WLQ3" s="964"/>
      <c r="WLR3" s="964"/>
      <c r="WLS3" s="964"/>
      <c r="WLT3" s="964"/>
      <c r="WLU3" s="964"/>
      <c r="WLV3" s="964"/>
      <c r="WLW3" s="964"/>
      <c r="WLX3" s="964"/>
      <c r="WLY3" s="964"/>
      <c r="WLZ3" s="964"/>
      <c r="WMA3" s="964"/>
      <c r="WMB3" s="964"/>
      <c r="WMC3" s="964"/>
      <c r="WMD3" s="964"/>
      <c r="WME3" s="964"/>
      <c r="WMF3" s="964"/>
      <c r="WMG3" s="964"/>
      <c r="WMH3" s="964"/>
      <c r="WMI3" s="964"/>
      <c r="WMJ3" s="964"/>
      <c r="WMK3" s="964"/>
      <c r="WML3" s="964"/>
      <c r="WMM3" s="964"/>
      <c r="WMN3" s="964"/>
      <c r="WMO3" s="964"/>
      <c r="WMP3" s="964"/>
      <c r="WMQ3" s="964"/>
      <c r="WMR3" s="964"/>
      <c r="WMS3" s="964"/>
      <c r="WMT3" s="964"/>
      <c r="WMU3" s="964"/>
      <c r="WMV3" s="964"/>
      <c r="WMW3" s="964"/>
      <c r="WMX3" s="964"/>
      <c r="WMY3" s="964"/>
      <c r="WMZ3" s="964"/>
      <c r="WNA3" s="964"/>
      <c r="WNB3" s="964"/>
      <c r="WNC3" s="964"/>
      <c r="WND3" s="964"/>
      <c r="WNE3" s="964"/>
      <c r="WNF3" s="964"/>
      <c r="WNG3" s="964"/>
      <c r="WNH3" s="964"/>
      <c r="WNI3" s="964"/>
      <c r="WNJ3" s="964"/>
      <c r="WNK3" s="964"/>
      <c r="WNL3" s="964"/>
      <c r="WNM3" s="964"/>
      <c r="WNN3" s="964"/>
      <c r="WNO3" s="964"/>
      <c r="WNP3" s="964"/>
      <c r="WNQ3" s="964"/>
      <c r="WNR3" s="964"/>
      <c r="WNS3" s="964"/>
      <c r="WNT3" s="964"/>
      <c r="WNU3" s="964"/>
      <c r="WNV3" s="964"/>
      <c r="WNW3" s="964"/>
      <c r="WNX3" s="964"/>
      <c r="WNY3" s="964"/>
      <c r="WNZ3" s="964"/>
      <c r="WOA3" s="964"/>
      <c r="WOB3" s="964"/>
      <c r="WOC3" s="964"/>
      <c r="WOD3" s="964"/>
      <c r="WOE3" s="964"/>
      <c r="WOF3" s="964"/>
      <c r="WOG3" s="964"/>
      <c r="WOH3" s="964"/>
      <c r="WOI3" s="964"/>
      <c r="WOJ3" s="964"/>
      <c r="WOK3" s="964"/>
      <c r="WOL3" s="964"/>
      <c r="WOM3" s="964"/>
      <c r="WON3" s="964"/>
      <c r="WOO3" s="964"/>
      <c r="WOP3" s="964"/>
      <c r="WOQ3" s="964"/>
      <c r="WOR3" s="964"/>
      <c r="WOS3" s="964"/>
      <c r="WOT3" s="964"/>
      <c r="WOU3" s="964"/>
      <c r="WOV3" s="964"/>
      <c r="WOW3" s="964"/>
      <c r="WOX3" s="964"/>
      <c r="WOY3" s="964"/>
      <c r="WOZ3" s="964"/>
      <c r="WPA3" s="964"/>
      <c r="WPB3" s="964"/>
      <c r="WPC3" s="964"/>
      <c r="WPD3" s="964"/>
      <c r="WPE3" s="964"/>
      <c r="WPF3" s="964"/>
      <c r="WPG3" s="964"/>
      <c r="WPH3" s="964"/>
      <c r="WPI3" s="964"/>
      <c r="WPJ3" s="964"/>
      <c r="WPK3" s="964"/>
      <c r="WPL3" s="964"/>
      <c r="WPM3" s="964"/>
      <c r="WPN3" s="964"/>
      <c r="WPO3" s="964"/>
      <c r="WPP3" s="964"/>
      <c r="WPQ3" s="964"/>
      <c r="WPR3" s="964"/>
      <c r="WPS3" s="964"/>
      <c r="WPT3" s="964"/>
      <c r="WPU3" s="964"/>
      <c r="WPV3" s="964"/>
      <c r="WPW3" s="964"/>
      <c r="WPX3" s="964"/>
      <c r="WPY3" s="964"/>
      <c r="WPZ3" s="964"/>
      <c r="WQA3" s="964"/>
      <c r="WQB3" s="964"/>
      <c r="WQC3" s="964"/>
      <c r="WQD3" s="964"/>
      <c r="WQE3" s="964"/>
      <c r="WQF3" s="964"/>
      <c r="WQG3" s="964"/>
      <c r="WQH3" s="964"/>
      <c r="WQI3" s="964"/>
      <c r="WQJ3" s="964"/>
      <c r="WQK3" s="964"/>
      <c r="WQL3" s="964"/>
      <c r="WQM3" s="964"/>
      <c r="WQN3" s="964"/>
      <c r="WQO3" s="964"/>
      <c r="WQP3" s="964"/>
      <c r="WQQ3" s="964"/>
      <c r="WQR3" s="964"/>
      <c r="WQS3" s="964"/>
      <c r="WQT3" s="964"/>
      <c r="WQU3" s="964"/>
      <c r="WQV3" s="964"/>
      <c r="WQW3" s="964"/>
      <c r="WQX3" s="964"/>
      <c r="WQY3" s="964"/>
      <c r="WQZ3" s="964"/>
      <c r="WRA3" s="964"/>
      <c r="WRB3" s="964"/>
      <c r="WRC3" s="964"/>
      <c r="WRD3" s="964"/>
      <c r="WRE3" s="964"/>
      <c r="WRF3" s="964"/>
      <c r="WRG3" s="964"/>
      <c r="WRH3" s="964"/>
      <c r="WRI3" s="964"/>
      <c r="WRJ3" s="964"/>
      <c r="WRK3" s="964"/>
      <c r="WRL3" s="964"/>
      <c r="WRM3" s="964"/>
      <c r="WRN3" s="964"/>
      <c r="WRO3" s="964"/>
      <c r="WRP3" s="964"/>
      <c r="WRQ3" s="964"/>
      <c r="WRR3" s="964"/>
      <c r="WRS3" s="964"/>
      <c r="WRT3" s="964"/>
      <c r="WRU3" s="964"/>
      <c r="WRV3" s="964"/>
      <c r="WRW3" s="964"/>
      <c r="WRX3" s="964"/>
      <c r="WRY3" s="964"/>
      <c r="WRZ3" s="964"/>
      <c r="WSA3" s="964"/>
      <c r="WSB3" s="964"/>
      <c r="WSC3" s="964"/>
      <c r="WSD3" s="964"/>
      <c r="WSE3" s="964"/>
      <c r="WSF3" s="964"/>
      <c r="WSG3" s="964"/>
      <c r="WSH3" s="964"/>
      <c r="WSI3" s="964"/>
      <c r="WSJ3" s="964"/>
      <c r="WSK3" s="964"/>
      <c r="WSL3" s="964"/>
      <c r="WSM3" s="964"/>
      <c r="WSN3" s="964"/>
      <c r="WSO3" s="964"/>
      <c r="WSP3" s="964"/>
      <c r="WSQ3" s="964"/>
      <c r="WSR3" s="964"/>
      <c r="WSS3" s="964"/>
      <c r="WST3" s="964"/>
      <c r="WSU3" s="964"/>
      <c r="WSV3" s="964"/>
      <c r="WSW3" s="964"/>
      <c r="WSX3" s="964"/>
      <c r="WSY3" s="964"/>
      <c r="WSZ3" s="964"/>
      <c r="WTA3" s="964"/>
      <c r="WTB3" s="964"/>
      <c r="WTC3" s="964"/>
      <c r="WTD3" s="964"/>
      <c r="WTE3" s="964"/>
      <c r="WTF3" s="964"/>
      <c r="WTG3" s="964"/>
      <c r="WTH3" s="964"/>
      <c r="WTI3" s="964"/>
      <c r="WTJ3" s="964"/>
      <c r="WTK3" s="964"/>
      <c r="WTL3" s="964"/>
      <c r="WTM3" s="964"/>
      <c r="WTN3" s="964"/>
      <c r="WTO3" s="964"/>
      <c r="WTP3" s="964"/>
      <c r="WTQ3" s="964"/>
      <c r="WTR3" s="964"/>
      <c r="WTS3" s="964"/>
      <c r="WTT3" s="964"/>
      <c r="WTU3" s="964"/>
      <c r="WTV3" s="964"/>
      <c r="WTW3" s="964"/>
      <c r="WTX3" s="964"/>
      <c r="WTY3" s="964"/>
      <c r="WTZ3" s="964"/>
      <c r="WUA3" s="964"/>
      <c r="WUB3" s="964"/>
      <c r="WUC3" s="964"/>
      <c r="WUD3" s="964"/>
      <c r="WUE3" s="964"/>
      <c r="WUF3" s="964"/>
      <c r="WUG3" s="964"/>
      <c r="WUH3" s="964"/>
      <c r="WUI3" s="964"/>
      <c r="WUJ3" s="964"/>
      <c r="WUK3" s="964"/>
      <c r="WUL3" s="964"/>
      <c r="WUM3" s="964"/>
      <c r="WUN3" s="964"/>
      <c r="WUO3" s="964"/>
      <c r="WUP3" s="964"/>
      <c r="WUQ3" s="964"/>
      <c r="WUR3" s="964"/>
      <c r="WUS3" s="964"/>
      <c r="WUT3" s="964"/>
      <c r="WUU3" s="964"/>
      <c r="WUV3" s="964"/>
      <c r="WUW3" s="964"/>
      <c r="WUX3" s="964"/>
      <c r="WUY3" s="964"/>
      <c r="WUZ3" s="964"/>
      <c r="WVA3" s="964"/>
      <c r="WVB3" s="964"/>
      <c r="WVC3" s="964"/>
      <c r="WVD3" s="964"/>
      <c r="WVE3" s="964"/>
      <c r="WVF3" s="964"/>
      <c r="WVG3" s="964"/>
      <c r="WVH3" s="964"/>
      <c r="WVI3" s="964"/>
      <c r="WVJ3" s="964"/>
      <c r="WVK3" s="964"/>
      <c r="WVL3" s="964"/>
      <c r="WVM3" s="964"/>
      <c r="WVN3" s="964"/>
      <c r="WVO3" s="964"/>
      <c r="WVP3" s="964"/>
      <c r="WVQ3" s="964"/>
      <c r="WVR3" s="964"/>
      <c r="WVS3" s="964"/>
      <c r="WVT3" s="964"/>
      <c r="WVU3" s="964"/>
      <c r="WVV3" s="964"/>
      <c r="WVW3" s="964"/>
      <c r="WVX3" s="964"/>
      <c r="WVY3" s="964"/>
      <c r="WVZ3" s="964"/>
      <c r="WWA3" s="964"/>
      <c r="WWB3" s="964"/>
      <c r="WWC3" s="964"/>
      <c r="WWD3" s="964"/>
      <c r="WWE3" s="964"/>
      <c r="WWF3" s="964"/>
      <c r="WWG3" s="964"/>
      <c r="WWH3" s="964"/>
      <c r="WWI3" s="964"/>
      <c r="WWJ3" s="964"/>
      <c r="WWK3" s="964"/>
      <c r="WWL3" s="964"/>
      <c r="WWM3" s="964"/>
      <c r="WWN3" s="964"/>
      <c r="WWO3" s="964"/>
      <c r="WWP3" s="964"/>
      <c r="WWQ3" s="964"/>
      <c r="WWR3" s="964"/>
      <c r="WWS3" s="964"/>
      <c r="WWT3" s="964"/>
      <c r="WWU3" s="964"/>
      <c r="WWV3" s="964"/>
      <c r="WWW3" s="964"/>
      <c r="WWX3" s="964"/>
      <c r="WWY3" s="964"/>
      <c r="WWZ3" s="964"/>
      <c r="WXA3" s="964"/>
      <c r="WXB3" s="964"/>
      <c r="WXC3" s="964"/>
      <c r="WXD3" s="964"/>
      <c r="WXE3" s="964"/>
      <c r="WXF3" s="964"/>
      <c r="WXG3" s="964"/>
      <c r="WXH3" s="964"/>
      <c r="WXI3" s="964"/>
      <c r="WXJ3" s="964"/>
      <c r="WXK3" s="964"/>
      <c r="WXL3" s="964"/>
      <c r="WXM3" s="964"/>
      <c r="WXN3" s="964"/>
      <c r="WXO3" s="964"/>
      <c r="WXP3" s="964"/>
      <c r="WXQ3" s="964"/>
      <c r="WXR3" s="964"/>
      <c r="WXS3" s="964"/>
      <c r="WXT3" s="964"/>
      <c r="WXU3" s="964"/>
      <c r="WXV3" s="964"/>
      <c r="WXW3" s="964"/>
      <c r="WXX3" s="964"/>
      <c r="WXY3" s="964"/>
      <c r="WXZ3" s="964"/>
      <c r="WYA3" s="964"/>
      <c r="WYB3" s="964"/>
      <c r="WYC3" s="964"/>
      <c r="WYD3" s="964"/>
      <c r="WYE3" s="964"/>
      <c r="WYF3" s="964"/>
      <c r="WYG3" s="964"/>
      <c r="WYH3" s="964"/>
      <c r="WYI3" s="964"/>
      <c r="WYJ3" s="964"/>
      <c r="WYK3" s="964"/>
      <c r="WYL3" s="964"/>
      <c r="WYM3" s="964"/>
      <c r="WYN3" s="964"/>
      <c r="WYO3" s="964"/>
      <c r="WYP3" s="964"/>
      <c r="WYQ3" s="964"/>
      <c r="WYR3" s="964"/>
      <c r="WYS3" s="964"/>
      <c r="WYT3" s="964"/>
      <c r="WYU3" s="964"/>
      <c r="WYV3" s="964"/>
      <c r="WYW3" s="964"/>
      <c r="WYX3" s="964"/>
      <c r="WYY3" s="964"/>
      <c r="WYZ3" s="964"/>
      <c r="WZA3" s="964"/>
      <c r="WZB3" s="964"/>
      <c r="WZC3" s="964"/>
      <c r="WZD3" s="964"/>
      <c r="WZE3" s="964"/>
      <c r="WZF3" s="964"/>
      <c r="WZG3" s="964"/>
      <c r="WZH3" s="964"/>
      <c r="WZI3" s="964"/>
      <c r="WZJ3" s="964"/>
      <c r="WZK3" s="964"/>
      <c r="WZL3" s="964"/>
      <c r="WZM3" s="964"/>
      <c r="WZN3" s="964"/>
      <c r="WZO3" s="964"/>
      <c r="WZP3" s="964"/>
      <c r="WZQ3" s="964"/>
      <c r="WZR3" s="964"/>
      <c r="WZS3" s="964"/>
      <c r="WZT3" s="964"/>
      <c r="WZU3" s="964"/>
      <c r="WZV3" s="964"/>
      <c r="WZW3" s="964"/>
      <c r="WZX3" s="964"/>
      <c r="WZY3" s="964"/>
      <c r="WZZ3" s="964"/>
      <c r="XAA3" s="964"/>
      <c r="XAB3" s="964"/>
      <c r="XAC3" s="964"/>
      <c r="XAD3" s="964"/>
      <c r="XAE3" s="964"/>
      <c r="XAF3" s="964"/>
      <c r="XAG3" s="964"/>
      <c r="XAH3" s="964"/>
      <c r="XAI3" s="964"/>
      <c r="XAJ3" s="964"/>
      <c r="XAK3" s="964"/>
      <c r="XAL3" s="964"/>
      <c r="XAM3" s="964"/>
      <c r="XAN3" s="964"/>
      <c r="XAO3" s="964"/>
      <c r="XAP3" s="964"/>
      <c r="XAQ3" s="964"/>
      <c r="XAR3" s="964"/>
      <c r="XAS3" s="964"/>
      <c r="XAT3" s="964"/>
      <c r="XAU3" s="964"/>
      <c r="XAV3" s="964"/>
      <c r="XAW3" s="964"/>
      <c r="XAX3" s="964"/>
      <c r="XAY3" s="964"/>
      <c r="XAZ3" s="964"/>
      <c r="XBA3" s="964"/>
      <c r="XBB3" s="964"/>
      <c r="XBC3" s="964"/>
      <c r="XBD3" s="964"/>
      <c r="XBE3" s="964"/>
      <c r="XBF3" s="964"/>
      <c r="XBG3" s="964"/>
      <c r="XBH3" s="964"/>
      <c r="XBI3" s="964"/>
      <c r="XBJ3" s="964"/>
      <c r="XBK3" s="964"/>
      <c r="XBL3" s="964"/>
      <c r="XBM3" s="964"/>
      <c r="XBN3" s="964"/>
      <c r="XBO3" s="964"/>
      <c r="XBP3" s="964"/>
      <c r="XBQ3" s="964"/>
      <c r="XBR3" s="964"/>
      <c r="XBS3" s="964"/>
      <c r="XBT3" s="964"/>
      <c r="XBU3" s="964"/>
      <c r="XBV3" s="964"/>
      <c r="XBW3" s="964"/>
      <c r="XBX3" s="964"/>
      <c r="XBY3" s="964"/>
      <c r="XBZ3" s="964"/>
      <c r="XCA3" s="964"/>
      <c r="XCB3" s="964"/>
      <c r="XCC3" s="964"/>
      <c r="XCD3" s="964"/>
      <c r="XCE3" s="964"/>
      <c r="XCF3" s="964"/>
      <c r="XCG3" s="964"/>
      <c r="XCH3" s="964"/>
      <c r="XCI3" s="964"/>
      <c r="XCJ3" s="964"/>
      <c r="XCK3" s="964"/>
      <c r="XCL3" s="964"/>
      <c r="XCM3" s="964"/>
      <c r="XCN3" s="964"/>
      <c r="XCO3" s="964"/>
      <c r="XCP3" s="964"/>
      <c r="XCQ3" s="964"/>
      <c r="XCR3" s="964"/>
      <c r="XCS3" s="964"/>
      <c r="XCT3" s="964"/>
      <c r="XCU3" s="964"/>
      <c r="XCV3" s="964"/>
      <c r="XCW3" s="964"/>
      <c r="XCX3" s="964"/>
      <c r="XCY3" s="964"/>
      <c r="XCZ3" s="964"/>
      <c r="XDA3" s="964"/>
      <c r="XDB3" s="964"/>
      <c r="XDC3" s="964"/>
      <c r="XDD3" s="964"/>
      <c r="XDE3" s="964"/>
      <c r="XDF3" s="964"/>
      <c r="XDG3" s="964"/>
      <c r="XDH3" s="964"/>
      <c r="XDI3" s="964"/>
      <c r="XDJ3" s="964"/>
      <c r="XDK3" s="964"/>
      <c r="XDL3" s="964"/>
      <c r="XDM3" s="964"/>
      <c r="XDN3" s="964"/>
      <c r="XDO3" s="964"/>
      <c r="XDP3" s="964"/>
      <c r="XDQ3" s="964"/>
      <c r="XDR3" s="964"/>
      <c r="XDS3" s="964"/>
      <c r="XDT3" s="964"/>
      <c r="XDU3" s="964"/>
      <c r="XDV3" s="964"/>
      <c r="XDW3" s="964"/>
      <c r="XDX3" s="964"/>
      <c r="XDY3" s="964"/>
      <c r="XDZ3" s="964"/>
      <c r="XEA3" s="964"/>
      <c r="XEB3" s="964"/>
      <c r="XEC3" s="964"/>
      <c r="XED3" s="964"/>
      <c r="XEE3" s="964"/>
      <c r="XEF3" s="964"/>
      <c r="XEG3" s="964"/>
      <c r="XEH3" s="964"/>
      <c r="XEI3" s="964"/>
      <c r="XEJ3" s="964"/>
      <c r="XEK3" s="964"/>
      <c r="XEL3" s="964"/>
      <c r="XEM3" s="964"/>
      <c r="XEN3" s="964"/>
      <c r="XEO3" s="964"/>
      <c r="XEP3" s="964"/>
      <c r="XEQ3" s="964"/>
      <c r="XER3" s="964"/>
      <c r="XES3" s="964"/>
      <c r="XET3" s="964"/>
      <c r="XEU3" s="964"/>
      <c r="XEV3" s="964"/>
      <c r="XEW3" s="964"/>
      <c r="XEX3" s="964"/>
      <c r="XEY3" s="964"/>
      <c r="XEZ3" s="964"/>
    </row>
    <row r="4" spans="1:16380" s="141" customFormat="1" ht="15">
      <c r="A4" s="139"/>
      <c r="B4" s="309"/>
      <c r="C4" s="309"/>
      <c r="F4" s="139"/>
      <c r="G4" s="139"/>
      <c r="H4" s="139"/>
      <c r="I4" s="139"/>
      <c r="J4" s="142"/>
      <c r="K4" s="142"/>
      <c r="L4" s="142"/>
      <c r="M4" s="142"/>
      <c r="N4" s="142"/>
      <c r="O4" s="142"/>
      <c r="P4" s="142"/>
      <c r="Q4" s="142"/>
      <c r="R4" s="143"/>
      <c r="S4" s="143"/>
      <c r="T4" s="143"/>
      <c r="U4" s="143"/>
      <c r="V4" s="143"/>
      <c r="W4" s="143"/>
      <c r="Y4" s="143"/>
      <c r="AA4" s="144"/>
      <c r="AB4" s="144"/>
      <c r="AC4" s="144"/>
    </row>
    <row r="5" spans="1:16380" s="148" customFormat="1" ht="16">
      <c r="A5" s="145"/>
      <c r="B5" s="310" t="s">
        <v>908</v>
      </c>
      <c r="C5" s="310"/>
      <c r="D5" s="146"/>
      <c r="E5" s="146"/>
      <c r="F5" s="146"/>
      <c r="G5" s="146"/>
      <c r="H5" s="146"/>
      <c r="I5" s="146"/>
      <c r="J5" s="146"/>
      <c r="K5" s="146"/>
      <c r="L5" s="146"/>
      <c r="M5" s="146"/>
      <c r="N5" s="146"/>
      <c r="O5" s="146"/>
      <c r="P5" s="146"/>
      <c r="Q5" s="146"/>
      <c r="R5" s="147"/>
      <c r="S5" s="147"/>
      <c r="T5" s="146" t="s">
        <v>909</v>
      </c>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146"/>
      <c r="KV5" s="146"/>
      <c r="KW5" s="146"/>
      <c r="KX5" s="146"/>
      <c r="KY5" s="146"/>
      <c r="KZ5" s="146"/>
      <c r="LA5" s="146"/>
      <c r="LB5" s="146"/>
      <c r="LC5" s="146"/>
      <c r="LD5" s="146"/>
      <c r="LE5" s="146"/>
      <c r="LF5" s="146"/>
      <c r="LG5" s="146"/>
      <c r="LH5" s="146"/>
      <c r="LI5" s="146"/>
      <c r="LJ5" s="146"/>
      <c r="LK5" s="146"/>
      <c r="LL5" s="146"/>
      <c r="LM5" s="146"/>
      <c r="LN5" s="146"/>
      <c r="LO5" s="146"/>
      <c r="LP5" s="146"/>
      <c r="LQ5" s="146"/>
      <c r="LR5" s="146"/>
      <c r="LS5" s="146"/>
      <c r="LT5" s="146"/>
      <c r="LU5" s="146"/>
      <c r="LV5" s="146"/>
      <c r="LW5" s="146"/>
      <c r="LX5" s="146"/>
      <c r="LY5" s="146"/>
      <c r="LZ5" s="146"/>
      <c r="MA5" s="146"/>
      <c r="MB5" s="146"/>
      <c r="MC5" s="146"/>
      <c r="MD5" s="146"/>
      <c r="ME5" s="146"/>
      <c r="MF5" s="146"/>
      <c r="MG5" s="146"/>
      <c r="MH5" s="146"/>
      <c r="MI5" s="146"/>
      <c r="MJ5" s="146"/>
      <c r="MK5" s="146"/>
      <c r="ML5" s="146"/>
      <c r="MM5" s="146"/>
      <c r="MN5" s="146"/>
      <c r="MO5" s="146"/>
      <c r="MP5" s="146"/>
      <c r="MQ5" s="146"/>
      <c r="MR5" s="146"/>
      <c r="MS5" s="146"/>
      <c r="MT5" s="146"/>
      <c r="MU5" s="146"/>
      <c r="MV5" s="146"/>
      <c r="MW5" s="146"/>
      <c r="MX5" s="146"/>
      <c r="MY5" s="146"/>
      <c r="MZ5" s="146"/>
      <c r="NA5" s="146"/>
      <c r="NB5" s="146"/>
      <c r="NC5" s="146"/>
      <c r="ND5" s="146"/>
      <c r="NE5" s="146"/>
      <c r="NF5" s="146"/>
      <c r="NG5" s="146"/>
      <c r="NH5" s="146"/>
      <c r="NI5" s="146"/>
      <c r="NJ5" s="146"/>
      <c r="NK5" s="146"/>
      <c r="NL5" s="146"/>
      <c r="NM5" s="146"/>
      <c r="NN5" s="146"/>
      <c r="NO5" s="146"/>
      <c r="NP5" s="146"/>
      <c r="NQ5" s="146"/>
      <c r="NR5" s="146"/>
      <c r="NS5" s="146"/>
      <c r="NT5" s="146"/>
      <c r="NU5" s="146"/>
      <c r="NV5" s="146"/>
      <c r="NW5" s="146"/>
      <c r="NX5" s="146"/>
      <c r="NY5" s="146"/>
      <c r="NZ5" s="146"/>
      <c r="OA5" s="146"/>
      <c r="OB5" s="146"/>
      <c r="OC5" s="146"/>
      <c r="OD5" s="146"/>
      <c r="OE5" s="146"/>
      <c r="OF5" s="146"/>
      <c r="OG5" s="146"/>
      <c r="OH5" s="146"/>
      <c r="OI5" s="146"/>
      <c r="OJ5" s="146"/>
      <c r="OK5" s="146"/>
      <c r="OL5" s="146"/>
      <c r="OM5" s="146"/>
      <c r="ON5" s="146"/>
      <c r="OO5" s="146"/>
      <c r="OP5" s="146"/>
      <c r="OQ5" s="146"/>
      <c r="OR5" s="146"/>
      <c r="OS5" s="146"/>
      <c r="OT5" s="146"/>
      <c r="OU5" s="146"/>
      <c r="OV5" s="146"/>
      <c r="OW5" s="146"/>
      <c r="OX5" s="146"/>
      <c r="OY5" s="146"/>
      <c r="OZ5" s="146"/>
      <c r="PA5" s="146"/>
      <c r="PB5" s="146"/>
      <c r="PC5" s="146"/>
      <c r="PD5" s="146"/>
      <c r="PE5" s="146"/>
      <c r="PF5" s="146"/>
      <c r="PG5" s="146"/>
      <c r="PH5" s="146"/>
      <c r="PI5" s="146"/>
      <c r="PJ5" s="146"/>
      <c r="PK5" s="146"/>
      <c r="PL5" s="146"/>
      <c r="PM5" s="146"/>
      <c r="PN5" s="146"/>
      <c r="PO5" s="146"/>
      <c r="PP5" s="146"/>
      <c r="PQ5" s="146"/>
      <c r="PR5" s="146"/>
      <c r="PS5" s="146"/>
      <c r="PT5" s="146"/>
      <c r="PU5" s="146"/>
      <c r="PV5" s="146"/>
      <c r="PW5" s="146"/>
      <c r="PX5" s="146"/>
      <c r="PY5" s="146"/>
      <c r="PZ5" s="146"/>
      <c r="QA5" s="146"/>
      <c r="QB5" s="146"/>
      <c r="QC5" s="146"/>
      <c r="QD5" s="146"/>
      <c r="QE5" s="146"/>
      <c r="QF5" s="146"/>
      <c r="QG5" s="146"/>
      <c r="QH5" s="146"/>
      <c r="QI5" s="146"/>
      <c r="QJ5" s="146"/>
      <c r="QK5" s="146"/>
      <c r="QL5" s="146"/>
      <c r="QM5" s="146"/>
      <c r="QN5" s="146"/>
      <c r="QO5" s="146"/>
      <c r="QP5" s="146"/>
      <c r="QQ5" s="146"/>
      <c r="QR5" s="146"/>
      <c r="QS5" s="146"/>
      <c r="QT5" s="146"/>
      <c r="QU5" s="146"/>
      <c r="QV5" s="146"/>
      <c r="QW5" s="146"/>
      <c r="QX5" s="146"/>
      <c r="QY5" s="146"/>
      <c r="QZ5" s="146"/>
      <c r="RA5" s="146"/>
      <c r="RB5" s="146"/>
      <c r="RC5" s="146"/>
      <c r="RD5" s="146"/>
      <c r="RE5" s="146"/>
      <c r="RF5" s="146"/>
      <c r="RG5" s="146"/>
      <c r="RH5" s="146"/>
      <c r="RI5" s="146"/>
      <c r="RJ5" s="146"/>
      <c r="RK5" s="146"/>
      <c r="RL5" s="146"/>
      <c r="RM5" s="146"/>
      <c r="RN5" s="146"/>
      <c r="RO5" s="146"/>
      <c r="RP5" s="146"/>
      <c r="RQ5" s="146"/>
      <c r="RR5" s="146"/>
      <c r="RS5" s="146"/>
      <c r="RT5" s="146"/>
      <c r="RU5" s="146"/>
      <c r="RV5" s="146"/>
      <c r="RW5" s="146"/>
      <c r="RX5" s="146"/>
      <c r="RY5" s="146"/>
      <c r="RZ5" s="146"/>
      <c r="SA5" s="146"/>
      <c r="SB5" s="146"/>
      <c r="SC5" s="146"/>
      <c r="SD5" s="146"/>
      <c r="SE5" s="146"/>
      <c r="SF5" s="146"/>
      <c r="SG5" s="146"/>
      <c r="SH5" s="146"/>
      <c r="SI5" s="146"/>
      <c r="SJ5" s="146"/>
      <c r="SK5" s="146"/>
      <c r="SL5" s="146"/>
      <c r="SM5" s="146"/>
      <c r="SN5" s="146"/>
      <c r="SO5" s="146"/>
      <c r="SP5" s="146"/>
      <c r="SQ5" s="146"/>
      <c r="SR5" s="146"/>
      <c r="SS5" s="146"/>
      <c r="ST5" s="146"/>
      <c r="SU5" s="146"/>
      <c r="SV5" s="146"/>
      <c r="SW5" s="146"/>
      <c r="SX5" s="146"/>
      <c r="SY5" s="146"/>
      <c r="SZ5" s="146"/>
      <c r="TA5" s="146"/>
      <c r="TB5" s="146"/>
      <c r="TC5" s="146"/>
      <c r="TD5" s="146"/>
      <c r="TE5" s="146"/>
      <c r="TF5" s="146"/>
      <c r="TG5" s="146"/>
      <c r="TH5" s="146"/>
      <c r="TI5" s="146"/>
      <c r="TJ5" s="146"/>
      <c r="TK5" s="146"/>
      <c r="TL5" s="146"/>
      <c r="TM5" s="146"/>
      <c r="TN5" s="146"/>
      <c r="TO5" s="146"/>
      <c r="TP5" s="146"/>
      <c r="TQ5" s="146"/>
      <c r="TR5" s="146"/>
      <c r="TS5" s="146"/>
      <c r="TT5" s="146"/>
      <c r="TU5" s="146"/>
      <c r="TV5" s="146"/>
      <c r="TW5" s="146"/>
      <c r="TX5" s="146"/>
      <c r="TY5" s="146"/>
      <c r="TZ5" s="146"/>
      <c r="UA5" s="146"/>
      <c r="UB5" s="146"/>
      <c r="UC5" s="146"/>
      <c r="UD5" s="146"/>
      <c r="UE5" s="146"/>
      <c r="UF5" s="146"/>
      <c r="UG5" s="146"/>
      <c r="UH5" s="146"/>
      <c r="UI5" s="146"/>
      <c r="UJ5" s="146"/>
      <c r="UK5" s="146"/>
      <c r="UL5" s="146"/>
      <c r="UM5" s="146"/>
      <c r="UN5" s="146"/>
      <c r="UO5" s="146"/>
      <c r="UP5" s="146"/>
      <c r="UQ5" s="146"/>
      <c r="UR5" s="146"/>
      <c r="US5" s="146"/>
      <c r="UT5" s="146"/>
      <c r="UU5" s="146"/>
      <c r="UV5" s="146"/>
      <c r="UW5" s="146"/>
      <c r="UX5" s="146"/>
      <c r="UY5" s="146"/>
      <c r="UZ5" s="146"/>
      <c r="VA5" s="146"/>
      <c r="VB5" s="146"/>
      <c r="VC5" s="146"/>
      <c r="VD5" s="146"/>
      <c r="VE5" s="146"/>
      <c r="VF5" s="146"/>
      <c r="VG5" s="146"/>
      <c r="VH5" s="146"/>
      <c r="VI5" s="146"/>
      <c r="VJ5" s="146"/>
      <c r="VK5" s="146"/>
      <c r="VL5" s="146"/>
      <c r="VM5" s="146"/>
      <c r="VN5" s="146"/>
      <c r="VO5" s="146"/>
      <c r="VP5" s="146"/>
      <c r="VQ5" s="146"/>
      <c r="VR5" s="146"/>
      <c r="VS5" s="146"/>
      <c r="VT5" s="146"/>
      <c r="VU5" s="146"/>
      <c r="VV5" s="146"/>
      <c r="VW5" s="146"/>
      <c r="VX5" s="146"/>
      <c r="VY5" s="146"/>
      <c r="VZ5" s="146"/>
      <c r="WA5" s="146"/>
      <c r="WB5" s="146"/>
      <c r="WC5" s="146"/>
      <c r="WD5" s="146"/>
      <c r="WE5" s="146"/>
      <c r="WF5" s="146"/>
      <c r="WG5" s="146"/>
      <c r="WH5" s="146"/>
      <c r="WI5" s="146"/>
      <c r="WJ5" s="146"/>
      <c r="WK5" s="146"/>
      <c r="WL5" s="146"/>
      <c r="WM5" s="146"/>
      <c r="WN5" s="146"/>
      <c r="WO5" s="146"/>
      <c r="WP5" s="146"/>
      <c r="WQ5" s="146"/>
      <c r="WR5" s="146"/>
      <c r="WS5" s="146"/>
      <c r="WT5" s="146"/>
      <c r="WU5" s="146"/>
      <c r="WV5" s="146"/>
      <c r="WW5" s="146"/>
      <c r="WX5" s="146"/>
      <c r="WY5" s="146"/>
      <c r="WZ5" s="146"/>
      <c r="XA5" s="146"/>
      <c r="XB5" s="146"/>
      <c r="XC5" s="146"/>
      <c r="XD5" s="146"/>
      <c r="XE5" s="146"/>
      <c r="XF5" s="146"/>
      <c r="XG5" s="146"/>
      <c r="XH5" s="146"/>
      <c r="XI5" s="146"/>
      <c r="XJ5" s="146"/>
      <c r="XK5" s="146"/>
      <c r="XL5" s="146"/>
      <c r="XM5" s="146"/>
      <c r="XN5" s="146"/>
      <c r="XO5" s="146"/>
      <c r="XP5" s="146"/>
      <c r="XQ5" s="146"/>
      <c r="XR5" s="146"/>
      <c r="XS5" s="146"/>
      <c r="XT5" s="146"/>
      <c r="XU5" s="146"/>
      <c r="XV5" s="146"/>
      <c r="XW5" s="146"/>
      <c r="XX5" s="146"/>
      <c r="XY5" s="146"/>
      <c r="XZ5" s="146"/>
      <c r="YA5" s="146"/>
      <c r="YB5" s="146"/>
      <c r="YC5" s="146"/>
      <c r="YD5" s="146"/>
      <c r="YE5" s="146"/>
      <c r="YF5" s="146"/>
      <c r="YG5" s="146"/>
      <c r="YH5" s="146"/>
      <c r="YI5" s="146"/>
      <c r="YJ5" s="146"/>
      <c r="YK5" s="146"/>
      <c r="YL5" s="146"/>
      <c r="YM5" s="146"/>
      <c r="YN5" s="146"/>
      <c r="YO5" s="146"/>
      <c r="YP5" s="146"/>
      <c r="YQ5" s="146"/>
      <c r="YR5" s="146"/>
      <c r="YS5" s="146"/>
      <c r="YT5" s="146"/>
      <c r="YU5" s="146"/>
      <c r="YV5" s="146"/>
      <c r="YW5" s="146"/>
      <c r="YX5" s="146"/>
      <c r="YY5" s="146"/>
      <c r="YZ5" s="146"/>
      <c r="ZA5" s="146"/>
      <c r="ZB5" s="146"/>
      <c r="ZC5" s="146"/>
      <c r="ZD5" s="146"/>
      <c r="ZE5" s="146"/>
      <c r="ZF5" s="146"/>
      <c r="ZG5" s="146"/>
      <c r="ZH5" s="146"/>
      <c r="ZI5" s="146"/>
      <c r="ZJ5" s="146"/>
      <c r="ZK5" s="146"/>
      <c r="ZL5" s="146"/>
      <c r="ZM5" s="146"/>
      <c r="ZN5" s="146"/>
      <c r="ZO5" s="146"/>
      <c r="ZP5" s="146"/>
      <c r="ZQ5" s="146"/>
      <c r="ZR5" s="146"/>
      <c r="ZS5" s="146"/>
      <c r="ZT5" s="146"/>
      <c r="ZU5" s="146"/>
      <c r="ZV5" s="146"/>
      <c r="ZW5" s="146"/>
      <c r="ZX5" s="146"/>
      <c r="ZY5" s="146"/>
      <c r="ZZ5" s="146"/>
      <c r="AAA5" s="146"/>
      <c r="AAB5" s="146"/>
      <c r="AAC5" s="146"/>
      <c r="AAD5" s="146"/>
      <c r="AAE5" s="146"/>
      <c r="AAF5" s="146"/>
      <c r="AAG5" s="146"/>
      <c r="AAH5" s="146"/>
      <c r="AAI5" s="146"/>
      <c r="AAJ5" s="146"/>
      <c r="AAK5" s="146"/>
      <c r="AAL5" s="146"/>
      <c r="AAM5" s="146"/>
      <c r="AAN5" s="146"/>
      <c r="AAO5" s="146"/>
      <c r="AAP5" s="146"/>
      <c r="AAQ5" s="146"/>
      <c r="AAR5" s="146"/>
      <c r="AAS5" s="146"/>
      <c r="AAT5" s="146"/>
      <c r="AAU5" s="146"/>
      <c r="AAV5" s="146"/>
      <c r="AAW5" s="146"/>
      <c r="AAX5" s="146"/>
      <c r="AAY5" s="146"/>
      <c r="AAZ5" s="146"/>
      <c r="ABA5" s="146"/>
      <c r="ABB5" s="146"/>
      <c r="ABC5" s="146"/>
      <c r="ABD5" s="146"/>
      <c r="ABE5" s="146"/>
      <c r="ABF5" s="146"/>
      <c r="ABG5" s="146"/>
      <c r="ABH5" s="146"/>
      <c r="ABI5" s="146"/>
      <c r="ABJ5" s="146"/>
      <c r="ABK5" s="146"/>
      <c r="ABL5" s="146"/>
      <c r="ABM5" s="146"/>
      <c r="ABN5" s="146"/>
      <c r="ABO5" s="146"/>
      <c r="ABP5" s="146"/>
      <c r="ABQ5" s="146"/>
      <c r="ABR5" s="146"/>
      <c r="ABS5" s="146"/>
      <c r="ABT5" s="146"/>
      <c r="ABU5" s="146"/>
      <c r="ABV5" s="146"/>
      <c r="ABW5" s="146"/>
      <c r="ABX5" s="146"/>
      <c r="ABY5" s="146"/>
      <c r="ABZ5" s="146"/>
      <c r="ACA5" s="146"/>
      <c r="ACB5" s="146"/>
      <c r="ACC5" s="146"/>
      <c r="ACD5" s="146"/>
      <c r="ACE5" s="146"/>
      <c r="ACF5" s="146"/>
      <c r="ACG5" s="146"/>
      <c r="ACH5" s="146"/>
      <c r="ACI5" s="146"/>
      <c r="ACJ5" s="146"/>
      <c r="ACK5" s="146"/>
      <c r="ACL5" s="146"/>
      <c r="ACM5" s="146"/>
      <c r="ACN5" s="146"/>
      <c r="ACO5" s="146"/>
      <c r="ACP5" s="146"/>
      <c r="ACQ5" s="146"/>
      <c r="ACR5" s="146"/>
      <c r="ACS5" s="146"/>
      <c r="ACT5" s="146"/>
      <c r="ACU5" s="146"/>
      <c r="ACV5" s="146"/>
      <c r="ACW5" s="146"/>
      <c r="ACX5" s="146"/>
      <c r="ACY5" s="146"/>
      <c r="ACZ5" s="146"/>
      <c r="ADA5" s="146"/>
      <c r="ADB5" s="146"/>
      <c r="ADC5" s="146"/>
      <c r="ADD5" s="146"/>
      <c r="ADE5" s="146"/>
      <c r="ADF5" s="146"/>
      <c r="ADG5" s="146"/>
      <c r="ADH5" s="146"/>
      <c r="ADI5" s="146"/>
      <c r="ADJ5" s="146"/>
      <c r="ADK5" s="146"/>
      <c r="ADL5" s="146"/>
      <c r="ADM5" s="146"/>
      <c r="ADN5" s="146"/>
      <c r="ADO5" s="146"/>
      <c r="ADP5" s="146"/>
      <c r="ADQ5" s="146"/>
      <c r="ADR5" s="146"/>
      <c r="ADS5" s="146"/>
      <c r="ADT5" s="146"/>
      <c r="ADU5" s="146"/>
      <c r="ADV5" s="146"/>
      <c r="ADW5" s="146"/>
      <c r="ADX5" s="146"/>
      <c r="ADY5" s="146"/>
      <c r="ADZ5" s="146"/>
      <c r="AEA5" s="146"/>
      <c r="AEB5" s="146"/>
      <c r="AEC5" s="146"/>
      <c r="AED5" s="146"/>
      <c r="AEE5" s="146"/>
      <c r="AEF5" s="146"/>
      <c r="AEG5" s="146"/>
      <c r="AEH5" s="146"/>
      <c r="AEI5" s="146"/>
      <c r="AEJ5" s="146"/>
      <c r="AEK5" s="146"/>
      <c r="AEL5" s="146"/>
      <c r="AEM5" s="146"/>
      <c r="AEN5" s="146"/>
      <c r="AEO5" s="146"/>
      <c r="AEP5" s="146"/>
      <c r="AEQ5" s="146"/>
      <c r="AER5" s="146"/>
      <c r="AES5" s="146"/>
      <c r="AET5" s="146"/>
      <c r="AEU5" s="146"/>
      <c r="AEV5" s="146"/>
      <c r="AEW5" s="146"/>
      <c r="AEX5" s="146"/>
      <c r="AEY5" s="146"/>
      <c r="AEZ5" s="146"/>
      <c r="AFA5" s="146"/>
      <c r="AFB5" s="146"/>
      <c r="AFC5" s="146"/>
      <c r="AFD5" s="146"/>
      <c r="AFE5" s="146"/>
      <c r="AFF5" s="146"/>
      <c r="AFG5" s="146"/>
      <c r="AFH5" s="146"/>
      <c r="AFI5" s="146"/>
      <c r="AFJ5" s="146"/>
      <c r="AFK5" s="146"/>
      <c r="AFL5" s="146"/>
      <c r="AFM5" s="146"/>
      <c r="AFN5" s="146"/>
      <c r="AFO5" s="146"/>
      <c r="AFP5" s="146"/>
      <c r="AFQ5" s="146"/>
      <c r="AFR5" s="146"/>
      <c r="AFS5" s="146"/>
      <c r="AFT5" s="146"/>
      <c r="AFU5" s="146"/>
      <c r="AFV5" s="146"/>
      <c r="AFW5" s="146"/>
      <c r="AFX5" s="146"/>
      <c r="AFY5" s="146"/>
      <c r="AFZ5" s="146"/>
      <c r="AGA5" s="146"/>
      <c r="AGB5" s="146"/>
      <c r="AGC5" s="146"/>
      <c r="AGD5" s="146"/>
      <c r="AGE5" s="146"/>
      <c r="AGF5" s="146"/>
      <c r="AGG5" s="146"/>
      <c r="AGH5" s="146"/>
      <c r="AGI5" s="146"/>
      <c r="AGJ5" s="146"/>
      <c r="AGK5" s="146"/>
      <c r="AGL5" s="146"/>
      <c r="AGM5" s="146"/>
      <c r="AGN5" s="146"/>
      <c r="AGO5" s="146"/>
      <c r="AGP5" s="146"/>
      <c r="AGQ5" s="146"/>
      <c r="AGR5" s="146"/>
      <c r="AGS5" s="146"/>
      <c r="AGT5" s="146"/>
      <c r="AGU5" s="146"/>
      <c r="AGV5" s="146"/>
      <c r="AGW5" s="146"/>
      <c r="AGX5" s="146"/>
      <c r="AGY5" s="146"/>
      <c r="AGZ5" s="146"/>
      <c r="AHA5" s="146"/>
      <c r="AHB5" s="146"/>
      <c r="AHC5" s="146"/>
      <c r="AHD5" s="146"/>
      <c r="AHE5" s="146"/>
      <c r="AHF5" s="146"/>
      <c r="AHG5" s="146"/>
      <c r="AHH5" s="146"/>
      <c r="AHI5" s="146"/>
      <c r="AHJ5" s="146"/>
      <c r="AHK5" s="146"/>
      <c r="AHL5" s="146"/>
      <c r="AHM5" s="146"/>
      <c r="AHN5" s="146"/>
      <c r="AHO5" s="146"/>
      <c r="AHP5" s="146"/>
      <c r="AHQ5" s="146"/>
      <c r="AHR5" s="146"/>
      <c r="AHS5" s="146"/>
      <c r="AHT5" s="146"/>
      <c r="AHU5" s="146"/>
      <c r="AHV5" s="146"/>
      <c r="AHW5" s="146"/>
      <c r="AHX5" s="146"/>
      <c r="AHY5" s="146"/>
      <c r="AHZ5" s="146"/>
      <c r="AIA5" s="146"/>
      <c r="AIB5" s="146"/>
      <c r="AIC5" s="146"/>
      <c r="AID5" s="146"/>
      <c r="AIE5" s="146"/>
      <c r="AIF5" s="146"/>
      <c r="AIG5" s="146"/>
      <c r="AIH5" s="146"/>
      <c r="AII5" s="146"/>
      <c r="AIJ5" s="146"/>
      <c r="AIK5" s="146"/>
      <c r="AIL5" s="146"/>
      <c r="AIM5" s="146"/>
      <c r="AIN5" s="146"/>
      <c r="AIO5" s="146"/>
      <c r="AIP5" s="146"/>
      <c r="AIQ5" s="146"/>
      <c r="AIR5" s="146"/>
      <c r="AIS5" s="146"/>
      <c r="AIT5" s="146"/>
      <c r="AIU5" s="146"/>
      <c r="AIV5" s="146"/>
      <c r="AIW5" s="146"/>
      <c r="AIX5" s="146"/>
      <c r="AIY5" s="146"/>
      <c r="AIZ5" s="146"/>
      <c r="AJA5" s="146"/>
      <c r="AJB5" s="146"/>
      <c r="AJC5" s="146"/>
      <c r="AJD5" s="146"/>
      <c r="AJE5" s="146"/>
      <c r="AJF5" s="146"/>
      <c r="AJG5" s="146"/>
      <c r="AJH5" s="146"/>
      <c r="AJI5" s="146"/>
      <c r="AJJ5" s="146"/>
      <c r="AJK5" s="146"/>
      <c r="AJL5" s="146"/>
      <c r="AJM5" s="146"/>
      <c r="AJN5" s="146"/>
      <c r="AJO5" s="146"/>
      <c r="AJP5" s="146"/>
      <c r="AJQ5" s="146"/>
      <c r="AJR5" s="146"/>
      <c r="AJS5" s="146"/>
      <c r="AJT5" s="146"/>
      <c r="AJU5" s="146"/>
      <c r="AJV5" s="146"/>
      <c r="AJW5" s="146"/>
      <c r="AJX5" s="146"/>
      <c r="AJY5" s="146"/>
      <c r="AJZ5" s="146"/>
      <c r="AKA5" s="146"/>
      <c r="AKB5" s="146"/>
      <c r="AKC5" s="146"/>
      <c r="AKD5" s="146"/>
      <c r="AKE5" s="146"/>
      <c r="AKF5" s="146"/>
      <c r="AKG5" s="146"/>
      <c r="AKH5" s="146"/>
      <c r="AKI5" s="146"/>
      <c r="AKJ5" s="146"/>
      <c r="AKK5" s="146"/>
      <c r="AKL5" s="146"/>
      <c r="AKM5" s="146"/>
      <c r="AKN5" s="146"/>
      <c r="AKO5" s="146"/>
      <c r="AKP5" s="146"/>
      <c r="AKQ5" s="146"/>
      <c r="AKR5" s="146"/>
      <c r="AKS5" s="146"/>
      <c r="AKT5" s="146"/>
      <c r="AKU5" s="146"/>
      <c r="AKV5" s="146"/>
      <c r="AKW5" s="146"/>
      <c r="AKX5" s="146"/>
      <c r="AKY5" s="146"/>
      <c r="AKZ5" s="146"/>
      <c r="ALA5" s="146"/>
      <c r="ALB5" s="146"/>
      <c r="ALC5" s="146"/>
      <c r="ALD5" s="146"/>
      <c r="ALE5" s="146"/>
      <c r="ALF5" s="146"/>
      <c r="ALG5" s="146"/>
      <c r="ALH5" s="146"/>
      <c r="ALI5" s="146"/>
      <c r="ALJ5" s="146"/>
      <c r="ALK5" s="146"/>
      <c r="ALL5" s="146"/>
      <c r="ALM5" s="146"/>
      <c r="ALN5" s="146"/>
      <c r="ALO5" s="146"/>
      <c r="ALP5" s="146"/>
      <c r="ALQ5" s="146"/>
      <c r="ALR5" s="146"/>
      <c r="ALS5" s="146"/>
      <c r="ALT5" s="146"/>
      <c r="ALU5" s="146"/>
      <c r="ALV5" s="146"/>
      <c r="ALW5" s="146"/>
      <c r="ALX5" s="146"/>
      <c r="ALY5" s="146"/>
      <c r="ALZ5" s="146"/>
      <c r="AMA5" s="146"/>
      <c r="AMB5" s="146"/>
      <c r="AMC5" s="146"/>
      <c r="AMD5" s="146"/>
      <c r="AME5" s="146"/>
      <c r="AMF5" s="146"/>
      <c r="AMG5" s="146"/>
      <c r="AMH5" s="146"/>
      <c r="AMI5" s="146"/>
      <c r="AMJ5" s="146"/>
      <c r="AMK5" s="146"/>
      <c r="AML5" s="146"/>
      <c r="AMM5" s="146"/>
      <c r="AMN5" s="146"/>
      <c r="AMO5" s="146"/>
      <c r="AMP5" s="146"/>
      <c r="AMQ5" s="146"/>
      <c r="AMR5" s="146"/>
      <c r="AMS5" s="146"/>
      <c r="AMT5" s="146"/>
      <c r="AMU5" s="146"/>
      <c r="AMV5" s="146"/>
      <c r="AMW5" s="146"/>
      <c r="AMX5" s="146"/>
      <c r="AMY5" s="146"/>
      <c r="AMZ5" s="146"/>
      <c r="ANA5" s="146"/>
      <c r="ANB5" s="146"/>
      <c r="ANC5" s="146"/>
      <c r="AND5" s="146"/>
      <c r="ANE5" s="146"/>
      <c r="ANF5" s="146"/>
      <c r="ANG5" s="146"/>
      <c r="ANH5" s="146"/>
      <c r="ANI5" s="146"/>
      <c r="ANJ5" s="146"/>
      <c r="ANK5" s="146"/>
      <c r="ANL5" s="146"/>
      <c r="ANM5" s="146"/>
      <c r="ANN5" s="146"/>
      <c r="ANO5" s="146"/>
      <c r="ANP5" s="146"/>
      <c r="ANQ5" s="146"/>
      <c r="ANR5" s="146"/>
      <c r="ANS5" s="146"/>
      <c r="ANT5" s="146"/>
      <c r="ANU5" s="146"/>
      <c r="ANV5" s="146"/>
      <c r="ANW5" s="146"/>
      <c r="ANX5" s="146"/>
      <c r="ANY5" s="146"/>
      <c r="ANZ5" s="146"/>
      <c r="AOA5" s="146"/>
      <c r="AOB5" s="146"/>
      <c r="AOC5" s="146"/>
      <c r="AOD5" s="146"/>
      <c r="AOE5" s="146"/>
      <c r="AOF5" s="146"/>
      <c r="AOG5" s="146"/>
      <c r="AOH5" s="146"/>
      <c r="AOI5" s="146"/>
      <c r="AOJ5" s="146"/>
      <c r="AOK5" s="146"/>
      <c r="AOL5" s="146"/>
      <c r="AOM5" s="146"/>
      <c r="AON5" s="146"/>
      <c r="AOO5" s="146"/>
      <c r="AOP5" s="146"/>
      <c r="AOQ5" s="146"/>
      <c r="AOR5" s="146"/>
      <c r="AOS5" s="146"/>
      <c r="AOT5" s="146"/>
      <c r="AOU5" s="146"/>
      <c r="AOV5" s="146"/>
      <c r="AOW5" s="146"/>
      <c r="AOX5" s="146"/>
      <c r="AOY5" s="146"/>
      <c r="AOZ5" s="146"/>
      <c r="APA5" s="146"/>
      <c r="APB5" s="146"/>
      <c r="APC5" s="146"/>
      <c r="APD5" s="146"/>
      <c r="APE5" s="146"/>
      <c r="APF5" s="146"/>
      <c r="APG5" s="146"/>
      <c r="APH5" s="146"/>
      <c r="API5" s="146"/>
      <c r="APJ5" s="146"/>
      <c r="APK5" s="146"/>
      <c r="APL5" s="146"/>
      <c r="APM5" s="146"/>
      <c r="APN5" s="146"/>
      <c r="APO5" s="146"/>
      <c r="APP5" s="146"/>
      <c r="APQ5" s="146"/>
      <c r="APR5" s="146"/>
      <c r="APS5" s="146"/>
      <c r="APT5" s="146"/>
      <c r="APU5" s="146"/>
      <c r="APV5" s="146"/>
      <c r="APW5" s="146"/>
      <c r="APX5" s="146"/>
      <c r="APY5" s="146"/>
      <c r="APZ5" s="146"/>
      <c r="AQA5" s="146"/>
      <c r="AQB5" s="146"/>
      <c r="AQC5" s="146"/>
      <c r="AQD5" s="146"/>
      <c r="AQE5" s="146"/>
      <c r="AQF5" s="146"/>
      <c r="AQG5" s="146"/>
      <c r="AQH5" s="146"/>
      <c r="AQI5" s="146"/>
      <c r="AQJ5" s="146"/>
      <c r="AQK5" s="146"/>
      <c r="AQL5" s="146"/>
      <c r="AQM5" s="146"/>
      <c r="AQN5" s="146"/>
      <c r="AQO5" s="146"/>
      <c r="AQP5" s="146"/>
      <c r="AQQ5" s="146"/>
      <c r="AQR5" s="146"/>
      <c r="AQS5" s="146"/>
      <c r="AQT5" s="146"/>
      <c r="AQU5" s="146"/>
      <c r="AQV5" s="146"/>
      <c r="AQW5" s="146"/>
      <c r="AQX5" s="146"/>
      <c r="AQY5" s="146"/>
      <c r="AQZ5" s="146"/>
      <c r="ARA5" s="146"/>
      <c r="ARB5" s="146"/>
      <c r="ARC5" s="146"/>
      <c r="ARD5" s="146"/>
      <c r="ARE5" s="146"/>
      <c r="ARF5" s="146"/>
      <c r="ARG5" s="146"/>
      <c r="ARH5" s="146"/>
      <c r="ARI5" s="146"/>
      <c r="ARJ5" s="146"/>
      <c r="ARK5" s="146"/>
      <c r="ARL5" s="146"/>
      <c r="ARM5" s="146"/>
      <c r="ARN5" s="146"/>
      <c r="ARO5" s="146"/>
      <c r="ARP5" s="146"/>
      <c r="ARQ5" s="146"/>
      <c r="ARR5" s="146"/>
      <c r="ARS5" s="146"/>
      <c r="ART5" s="146"/>
      <c r="ARU5" s="146"/>
      <c r="ARV5" s="146"/>
      <c r="ARW5" s="146"/>
      <c r="ARX5" s="146"/>
      <c r="ARY5" s="146"/>
      <c r="ARZ5" s="146"/>
      <c r="ASA5" s="146"/>
      <c r="ASB5" s="146"/>
      <c r="ASC5" s="146"/>
      <c r="ASD5" s="146"/>
      <c r="ASE5" s="146"/>
      <c r="ASF5" s="146"/>
      <c r="ASG5" s="146"/>
      <c r="ASH5" s="146"/>
      <c r="ASI5" s="146"/>
      <c r="ASJ5" s="146"/>
      <c r="ASK5" s="146"/>
      <c r="ASL5" s="146"/>
      <c r="ASM5" s="146"/>
      <c r="ASN5" s="146"/>
      <c r="ASO5" s="146"/>
      <c r="ASP5" s="146"/>
      <c r="ASQ5" s="146"/>
      <c r="ASR5" s="146"/>
      <c r="ASS5" s="146"/>
      <c r="AST5" s="146"/>
      <c r="ASU5" s="146"/>
      <c r="ASV5" s="146"/>
      <c r="ASW5" s="146"/>
      <c r="ASX5" s="146"/>
      <c r="ASY5" s="146"/>
      <c r="ASZ5" s="146"/>
      <c r="ATA5" s="146"/>
      <c r="ATB5" s="146"/>
      <c r="ATC5" s="146"/>
      <c r="ATD5" s="146"/>
      <c r="ATE5" s="146"/>
      <c r="ATF5" s="146"/>
      <c r="ATG5" s="146"/>
      <c r="ATH5" s="146"/>
      <c r="ATI5" s="146"/>
      <c r="ATJ5" s="146"/>
      <c r="ATK5" s="146"/>
      <c r="ATL5" s="146"/>
      <c r="ATM5" s="146"/>
      <c r="ATN5" s="146"/>
      <c r="ATO5" s="146"/>
      <c r="ATP5" s="146"/>
      <c r="ATQ5" s="146"/>
      <c r="ATR5" s="146"/>
      <c r="ATS5" s="146"/>
      <c r="ATT5" s="146"/>
      <c r="ATU5" s="146"/>
      <c r="ATV5" s="146"/>
      <c r="ATW5" s="146"/>
      <c r="ATX5" s="146"/>
      <c r="ATY5" s="146"/>
      <c r="ATZ5" s="146"/>
      <c r="AUA5" s="146"/>
      <c r="AUB5" s="146"/>
      <c r="AUC5" s="146"/>
      <c r="AUD5" s="146"/>
      <c r="AUE5" s="146"/>
      <c r="AUF5" s="146"/>
      <c r="AUG5" s="146"/>
      <c r="AUH5" s="146"/>
      <c r="AUI5" s="146"/>
      <c r="AUJ5" s="146"/>
      <c r="AUK5" s="146"/>
      <c r="AUL5" s="146"/>
      <c r="AUM5" s="146"/>
      <c r="AUN5" s="146"/>
      <c r="AUO5" s="146"/>
      <c r="AUP5" s="146"/>
      <c r="AUQ5" s="146"/>
      <c r="AUR5" s="146"/>
      <c r="AUS5" s="146"/>
      <c r="AUT5" s="146"/>
      <c r="AUU5" s="146"/>
      <c r="AUV5" s="146"/>
      <c r="AUW5" s="146"/>
      <c r="AUX5" s="146"/>
      <c r="AUY5" s="146"/>
      <c r="AUZ5" s="146"/>
      <c r="AVA5" s="146"/>
      <c r="AVB5" s="146"/>
      <c r="AVC5" s="146"/>
      <c r="AVD5" s="146"/>
      <c r="AVE5" s="146"/>
      <c r="AVF5" s="146"/>
      <c r="AVG5" s="146"/>
      <c r="AVH5" s="146"/>
      <c r="AVI5" s="146"/>
      <c r="AVJ5" s="146"/>
      <c r="AVK5" s="146"/>
      <c r="AVL5" s="146"/>
      <c r="AVM5" s="146"/>
      <c r="AVN5" s="146"/>
      <c r="AVO5" s="146"/>
      <c r="AVP5" s="146"/>
      <c r="AVQ5" s="146"/>
      <c r="AVR5" s="146"/>
      <c r="AVS5" s="146"/>
      <c r="AVT5" s="146"/>
      <c r="AVU5" s="146"/>
      <c r="AVV5" s="146"/>
      <c r="AVW5" s="146"/>
      <c r="AVX5" s="146"/>
      <c r="AVY5" s="146"/>
      <c r="AVZ5" s="146"/>
      <c r="AWA5" s="146"/>
      <c r="AWB5" s="146"/>
      <c r="AWC5" s="146"/>
      <c r="AWD5" s="146"/>
      <c r="AWE5" s="146"/>
      <c r="AWF5" s="146"/>
      <c r="AWG5" s="146"/>
      <c r="AWH5" s="146"/>
      <c r="AWI5" s="146"/>
      <c r="AWJ5" s="146"/>
      <c r="AWK5" s="146"/>
      <c r="AWL5" s="146"/>
      <c r="AWM5" s="146"/>
      <c r="AWN5" s="146"/>
      <c r="AWO5" s="146"/>
      <c r="AWP5" s="146"/>
      <c r="AWQ5" s="146"/>
      <c r="AWR5" s="146"/>
      <c r="AWS5" s="146"/>
      <c r="AWT5" s="146"/>
      <c r="AWU5" s="146"/>
      <c r="AWV5" s="146"/>
      <c r="AWW5" s="146"/>
      <c r="AWX5" s="146"/>
      <c r="AWY5" s="146"/>
      <c r="AWZ5" s="146"/>
      <c r="AXA5" s="146"/>
      <c r="AXB5" s="146"/>
      <c r="AXC5" s="146"/>
      <c r="AXD5" s="146"/>
      <c r="AXE5" s="146"/>
      <c r="AXF5" s="146"/>
      <c r="AXG5" s="146"/>
      <c r="AXH5" s="146"/>
      <c r="AXI5" s="146"/>
      <c r="AXJ5" s="146"/>
      <c r="AXK5" s="146"/>
      <c r="AXL5" s="146"/>
      <c r="AXM5" s="146"/>
      <c r="AXN5" s="146"/>
      <c r="AXO5" s="146"/>
      <c r="AXP5" s="146"/>
      <c r="AXQ5" s="146"/>
      <c r="AXR5" s="146"/>
      <c r="AXS5" s="146"/>
      <c r="AXT5" s="146"/>
      <c r="AXU5" s="146"/>
      <c r="AXV5" s="146"/>
      <c r="AXW5" s="146"/>
      <c r="AXX5" s="146"/>
      <c r="AXY5" s="146"/>
      <c r="AXZ5" s="146"/>
      <c r="AYA5" s="146"/>
      <c r="AYB5" s="146"/>
      <c r="AYC5" s="146"/>
      <c r="AYD5" s="146"/>
      <c r="AYE5" s="146"/>
      <c r="AYF5" s="146"/>
      <c r="AYG5" s="146"/>
      <c r="AYH5" s="146"/>
      <c r="AYI5" s="146"/>
      <c r="AYJ5" s="146"/>
      <c r="AYK5" s="146"/>
      <c r="AYL5" s="146"/>
      <c r="AYM5" s="146"/>
      <c r="AYN5" s="146"/>
      <c r="AYO5" s="146"/>
      <c r="AYP5" s="146"/>
      <c r="AYQ5" s="146"/>
      <c r="AYR5" s="146"/>
      <c r="AYS5" s="146"/>
      <c r="AYT5" s="146"/>
      <c r="AYU5" s="146"/>
      <c r="AYV5" s="146"/>
      <c r="AYW5" s="146"/>
      <c r="AYX5" s="146"/>
      <c r="AYY5" s="146"/>
      <c r="AYZ5" s="146"/>
      <c r="AZA5" s="146"/>
      <c r="AZB5" s="146"/>
      <c r="AZC5" s="146"/>
      <c r="AZD5" s="146"/>
      <c r="AZE5" s="146"/>
      <c r="AZF5" s="146"/>
      <c r="AZG5" s="146"/>
      <c r="AZH5" s="146"/>
      <c r="AZI5" s="146"/>
      <c r="AZJ5" s="146"/>
      <c r="AZK5" s="146"/>
      <c r="AZL5" s="146"/>
      <c r="AZM5" s="146"/>
      <c r="AZN5" s="146"/>
      <c r="AZO5" s="146"/>
      <c r="AZP5" s="146"/>
      <c r="AZQ5" s="146"/>
      <c r="AZR5" s="146"/>
      <c r="AZS5" s="146"/>
      <c r="AZT5" s="146"/>
      <c r="AZU5" s="146"/>
      <c r="AZV5" s="146"/>
      <c r="AZW5" s="146"/>
      <c r="AZX5" s="146"/>
      <c r="AZY5" s="146"/>
      <c r="AZZ5" s="146"/>
      <c r="BAA5" s="146"/>
      <c r="BAB5" s="146"/>
      <c r="BAC5" s="146"/>
      <c r="BAD5" s="146"/>
      <c r="BAE5" s="146"/>
      <c r="BAF5" s="146"/>
      <c r="BAG5" s="146"/>
      <c r="BAH5" s="146"/>
      <c r="BAI5" s="146"/>
      <c r="BAJ5" s="146"/>
      <c r="BAK5" s="146"/>
      <c r="BAL5" s="146"/>
      <c r="BAM5" s="146"/>
      <c r="BAN5" s="146"/>
      <c r="BAO5" s="146"/>
      <c r="BAP5" s="146"/>
      <c r="BAQ5" s="146"/>
      <c r="BAR5" s="146"/>
      <c r="BAS5" s="146"/>
      <c r="BAT5" s="146"/>
      <c r="BAU5" s="146"/>
      <c r="BAV5" s="146"/>
      <c r="BAW5" s="146"/>
      <c r="BAX5" s="146"/>
      <c r="BAY5" s="146"/>
      <c r="BAZ5" s="146"/>
      <c r="BBA5" s="146"/>
      <c r="BBB5" s="146"/>
      <c r="BBC5" s="146"/>
      <c r="BBD5" s="146"/>
      <c r="BBE5" s="146"/>
      <c r="BBF5" s="146"/>
      <c r="BBG5" s="146"/>
      <c r="BBH5" s="146"/>
      <c r="BBI5" s="146"/>
      <c r="BBJ5" s="146"/>
      <c r="BBK5" s="146"/>
      <c r="BBL5" s="146"/>
      <c r="BBM5" s="146"/>
      <c r="BBN5" s="146"/>
      <c r="BBO5" s="146"/>
      <c r="BBP5" s="146"/>
      <c r="BBQ5" s="146"/>
      <c r="BBR5" s="146"/>
      <c r="BBS5" s="146"/>
      <c r="BBT5" s="146"/>
      <c r="BBU5" s="146"/>
      <c r="BBV5" s="146"/>
      <c r="BBW5" s="146"/>
      <c r="BBX5" s="146"/>
      <c r="BBY5" s="146"/>
      <c r="BBZ5" s="146"/>
      <c r="BCA5" s="146"/>
      <c r="BCB5" s="146"/>
      <c r="BCC5" s="146"/>
      <c r="BCD5" s="146"/>
      <c r="BCE5" s="146"/>
      <c r="BCF5" s="146"/>
      <c r="BCG5" s="146"/>
      <c r="BCH5" s="146"/>
      <c r="BCI5" s="146"/>
      <c r="BCJ5" s="146"/>
      <c r="BCK5" s="146"/>
      <c r="BCL5" s="146"/>
      <c r="BCM5" s="146"/>
      <c r="BCN5" s="146"/>
      <c r="BCO5" s="146"/>
      <c r="BCP5" s="146"/>
      <c r="BCQ5" s="146"/>
      <c r="BCR5" s="146"/>
      <c r="BCS5" s="146"/>
      <c r="BCT5" s="146"/>
      <c r="BCU5" s="146"/>
      <c r="BCV5" s="146"/>
      <c r="BCW5" s="146"/>
      <c r="BCX5" s="146"/>
      <c r="BCY5" s="146"/>
      <c r="BCZ5" s="146"/>
      <c r="BDA5" s="146"/>
      <c r="BDB5" s="146"/>
      <c r="BDC5" s="146"/>
      <c r="BDD5" s="146"/>
      <c r="BDE5" s="146"/>
      <c r="BDF5" s="146"/>
      <c r="BDG5" s="146"/>
      <c r="BDH5" s="146"/>
      <c r="BDI5" s="146"/>
      <c r="BDJ5" s="146"/>
      <c r="BDK5" s="146"/>
      <c r="BDL5" s="146"/>
      <c r="BDM5" s="146"/>
      <c r="BDN5" s="146"/>
      <c r="BDO5" s="146"/>
      <c r="BDP5" s="146"/>
      <c r="BDQ5" s="146"/>
      <c r="BDR5" s="146"/>
      <c r="BDS5" s="146"/>
      <c r="BDT5" s="146"/>
      <c r="BDU5" s="146"/>
      <c r="BDV5" s="146"/>
      <c r="BDW5" s="146"/>
      <c r="BDX5" s="146"/>
      <c r="BDY5" s="146"/>
      <c r="BDZ5" s="146"/>
      <c r="BEA5" s="146"/>
      <c r="BEB5" s="146"/>
      <c r="BEC5" s="146"/>
      <c r="BED5" s="146"/>
      <c r="BEE5" s="146"/>
      <c r="BEF5" s="146"/>
      <c r="BEG5" s="146"/>
      <c r="BEH5" s="146"/>
      <c r="BEI5" s="146"/>
      <c r="BEJ5" s="146"/>
      <c r="BEK5" s="146"/>
      <c r="BEL5" s="146"/>
      <c r="BEM5" s="146"/>
      <c r="BEN5" s="146"/>
      <c r="BEO5" s="146"/>
      <c r="BEP5" s="146"/>
      <c r="BEQ5" s="146"/>
      <c r="BER5" s="146"/>
      <c r="BES5" s="146"/>
      <c r="BET5" s="146"/>
      <c r="BEU5" s="146"/>
      <c r="BEV5" s="146"/>
      <c r="BEW5" s="146"/>
      <c r="BEX5" s="146"/>
      <c r="BEY5" s="146"/>
      <c r="BEZ5" s="146"/>
      <c r="BFA5" s="146"/>
      <c r="BFB5" s="146"/>
      <c r="BFC5" s="146"/>
      <c r="BFD5" s="146"/>
      <c r="BFE5" s="146"/>
      <c r="BFF5" s="146"/>
      <c r="BFG5" s="146"/>
      <c r="BFH5" s="146"/>
      <c r="BFI5" s="146"/>
      <c r="BFJ5" s="146"/>
      <c r="BFK5" s="146"/>
      <c r="BFL5" s="146"/>
      <c r="BFM5" s="146"/>
      <c r="BFN5" s="146"/>
      <c r="BFO5" s="146"/>
      <c r="BFP5" s="146"/>
      <c r="BFQ5" s="146"/>
      <c r="BFR5" s="146"/>
      <c r="BFS5" s="146"/>
      <c r="BFT5" s="146"/>
      <c r="BFU5" s="146"/>
      <c r="BFV5" s="146"/>
      <c r="BFW5" s="146"/>
      <c r="BFX5" s="146"/>
      <c r="BFY5" s="146"/>
      <c r="BFZ5" s="146"/>
      <c r="BGA5" s="146"/>
      <c r="BGB5" s="146"/>
      <c r="BGC5" s="146"/>
      <c r="BGD5" s="146"/>
      <c r="BGE5" s="146"/>
      <c r="BGF5" s="146"/>
      <c r="BGG5" s="146"/>
      <c r="BGH5" s="146"/>
      <c r="BGI5" s="146"/>
      <c r="BGJ5" s="146"/>
      <c r="BGK5" s="146"/>
      <c r="BGL5" s="146"/>
      <c r="BGM5" s="146"/>
      <c r="BGN5" s="146"/>
      <c r="BGO5" s="146"/>
      <c r="BGP5" s="146"/>
      <c r="BGQ5" s="146"/>
      <c r="BGR5" s="146"/>
      <c r="BGS5" s="146"/>
      <c r="BGT5" s="146"/>
      <c r="BGU5" s="146"/>
      <c r="BGV5" s="146"/>
      <c r="BGW5" s="146"/>
      <c r="BGX5" s="146"/>
      <c r="BGY5" s="146"/>
      <c r="BGZ5" s="146"/>
      <c r="BHA5" s="146"/>
      <c r="BHB5" s="146"/>
      <c r="BHC5" s="146"/>
      <c r="BHD5" s="146"/>
      <c r="BHE5" s="146"/>
      <c r="BHF5" s="146"/>
      <c r="BHG5" s="146"/>
      <c r="BHH5" s="146"/>
      <c r="BHI5" s="146"/>
      <c r="BHJ5" s="146"/>
      <c r="BHK5" s="146"/>
      <c r="BHL5" s="146"/>
      <c r="BHM5" s="146"/>
      <c r="BHN5" s="146"/>
      <c r="BHO5" s="146"/>
      <c r="BHP5" s="146"/>
      <c r="BHQ5" s="146"/>
      <c r="BHR5" s="146"/>
      <c r="BHS5" s="146"/>
      <c r="BHT5" s="146"/>
      <c r="BHU5" s="146"/>
      <c r="BHV5" s="146"/>
      <c r="BHW5" s="146"/>
      <c r="BHX5" s="146"/>
      <c r="BHY5" s="146"/>
      <c r="BHZ5" s="146"/>
      <c r="BIA5" s="146"/>
      <c r="BIB5" s="146"/>
      <c r="BIC5" s="146"/>
      <c r="BID5" s="146"/>
      <c r="BIE5" s="146"/>
      <c r="BIF5" s="146"/>
      <c r="BIG5" s="146"/>
      <c r="BIH5" s="146"/>
      <c r="BII5" s="146"/>
      <c r="BIJ5" s="146"/>
      <c r="BIK5" s="146"/>
      <c r="BIL5" s="146"/>
      <c r="BIM5" s="146"/>
      <c r="BIN5" s="146"/>
      <c r="BIO5" s="146"/>
      <c r="BIP5" s="146"/>
      <c r="BIQ5" s="146"/>
      <c r="BIR5" s="146"/>
      <c r="BIS5" s="146"/>
      <c r="BIT5" s="146"/>
      <c r="BIU5" s="146"/>
      <c r="BIV5" s="146"/>
      <c r="BIW5" s="146"/>
      <c r="BIX5" s="146"/>
      <c r="BIY5" s="146"/>
      <c r="BIZ5" s="146"/>
      <c r="BJA5" s="146"/>
      <c r="BJB5" s="146"/>
      <c r="BJC5" s="146"/>
      <c r="BJD5" s="146"/>
      <c r="BJE5" s="146"/>
      <c r="BJF5" s="146"/>
      <c r="BJG5" s="146"/>
      <c r="BJH5" s="146"/>
      <c r="BJI5" s="146"/>
      <c r="BJJ5" s="146"/>
      <c r="BJK5" s="146"/>
      <c r="BJL5" s="146"/>
      <c r="BJM5" s="146"/>
      <c r="BJN5" s="146"/>
      <c r="BJO5" s="146"/>
      <c r="BJP5" s="146"/>
      <c r="BJQ5" s="146"/>
      <c r="BJR5" s="146"/>
      <c r="BJS5" s="146"/>
      <c r="BJT5" s="146"/>
      <c r="BJU5" s="146"/>
      <c r="BJV5" s="146"/>
      <c r="BJW5" s="146"/>
      <c r="BJX5" s="146"/>
      <c r="BJY5" s="146"/>
      <c r="BJZ5" s="146"/>
      <c r="BKA5" s="146"/>
      <c r="BKB5" s="146"/>
      <c r="BKC5" s="146"/>
      <c r="BKD5" s="146"/>
      <c r="BKE5" s="146"/>
      <c r="BKF5" s="146"/>
      <c r="BKG5" s="146"/>
      <c r="BKH5" s="146"/>
      <c r="BKI5" s="146"/>
      <c r="BKJ5" s="146"/>
      <c r="BKK5" s="146"/>
      <c r="BKL5" s="146"/>
      <c r="BKM5" s="146"/>
      <c r="BKN5" s="146"/>
      <c r="BKO5" s="146"/>
      <c r="BKP5" s="146"/>
      <c r="BKQ5" s="146"/>
      <c r="BKR5" s="146"/>
      <c r="BKS5" s="146"/>
      <c r="BKT5" s="146"/>
      <c r="BKU5" s="146"/>
      <c r="BKV5" s="146"/>
      <c r="BKW5" s="146"/>
      <c r="BKX5" s="146"/>
      <c r="BKY5" s="146"/>
      <c r="BKZ5" s="146"/>
      <c r="BLA5" s="146"/>
      <c r="BLB5" s="146"/>
      <c r="BLC5" s="146"/>
      <c r="BLD5" s="146"/>
      <c r="BLE5" s="146"/>
      <c r="BLF5" s="146"/>
      <c r="BLG5" s="146"/>
      <c r="BLH5" s="146"/>
      <c r="BLI5" s="146"/>
      <c r="BLJ5" s="146"/>
      <c r="BLK5" s="146"/>
      <c r="BLL5" s="146"/>
      <c r="BLM5" s="146"/>
      <c r="BLN5" s="146"/>
      <c r="BLO5" s="146"/>
      <c r="BLP5" s="146"/>
      <c r="BLQ5" s="146"/>
      <c r="BLR5" s="146"/>
      <c r="BLS5" s="146"/>
      <c r="BLT5" s="146"/>
      <c r="BLU5" s="146"/>
      <c r="BLV5" s="146"/>
      <c r="BLW5" s="146"/>
      <c r="BLX5" s="146"/>
      <c r="BLY5" s="146"/>
      <c r="BLZ5" s="146"/>
      <c r="BMA5" s="146"/>
      <c r="BMB5" s="146"/>
      <c r="BMC5" s="146"/>
      <c r="BMD5" s="146"/>
      <c r="BME5" s="146"/>
      <c r="BMF5" s="146"/>
      <c r="BMG5" s="146"/>
      <c r="BMH5" s="146"/>
      <c r="BMI5" s="146"/>
      <c r="BMJ5" s="146"/>
      <c r="BMK5" s="146"/>
      <c r="BML5" s="146"/>
      <c r="BMM5" s="146"/>
      <c r="BMN5" s="146"/>
      <c r="BMO5" s="146"/>
      <c r="BMP5" s="146"/>
      <c r="BMQ5" s="146"/>
      <c r="BMR5" s="146"/>
      <c r="BMS5" s="146"/>
      <c r="BMT5" s="146"/>
      <c r="BMU5" s="146"/>
      <c r="BMV5" s="146"/>
      <c r="BMW5" s="146"/>
      <c r="BMX5" s="146"/>
      <c r="BMY5" s="146"/>
      <c r="BMZ5" s="146"/>
      <c r="BNA5" s="146"/>
      <c r="BNB5" s="146"/>
      <c r="BNC5" s="146"/>
      <c r="BND5" s="146"/>
      <c r="BNE5" s="146"/>
      <c r="BNF5" s="146"/>
      <c r="BNG5" s="146"/>
      <c r="BNH5" s="146"/>
      <c r="BNI5" s="146"/>
      <c r="BNJ5" s="146"/>
      <c r="BNK5" s="146"/>
      <c r="BNL5" s="146"/>
      <c r="BNM5" s="146"/>
      <c r="BNN5" s="146"/>
      <c r="BNO5" s="146"/>
      <c r="BNP5" s="146"/>
      <c r="BNQ5" s="146"/>
      <c r="BNR5" s="146"/>
      <c r="BNS5" s="146"/>
      <c r="BNT5" s="146"/>
      <c r="BNU5" s="146"/>
      <c r="BNV5" s="146"/>
      <c r="BNW5" s="146"/>
      <c r="BNX5" s="146"/>
      <c r="BNY5" s="146"/>
      <c r="BNZ5" s="146"/>
      <c r="BOA5" s="146"/>
      <c r="BOB5" s="146"/>
      <c r="BOC5" s="146"/>
      <c r="BOD5" s="146"/>
      <c r="BOE5" s="146"/>
      <c r="BOF5" s="146"/>
      <c r="BOG5" s="146"/>
      <c r="BOH5" s="146"/>
      <c r="BOI5" s="146"/>
      <c r="BOJ5" s="146"/>
      <c r="BOK5" s="146"/>
      <c r="BOL5" s="146"/>
      <c r="BOM5" s="146"/>
      <c r="BON5" s="146"/>
      <c r="BOO5" s="146"/>
      <c r="BOP5" s="146"/>
      <c r="BOQ5" s="146"/>
      <c r="BOR5" s="146"/>
      <c r="BOS5" s="146"/>
      <c r="BOT5" s="146"/>
      <c r="BOU5" s="146"/>
      <c r="BOV5" s="146"/>
      <c r="BOW5" s="146"/>
      <c r="BOX5" s="146"/>
      <c r="BOY5" s="146"/>
      <c r="BOZ5" s="146"/>
      <c r="BPA5" s="146"/>
      <c r="BPB5" s="146"/>
      <c r="BPC5" s="146"/>
      <c r="BPD5" s="146"/>
      <c r="BPE5" s="146"/>
      <c r="BPF5" s="146"/>
      <c r="BPG5" s="146"/>
      <c r="BPH5" s="146"/>
      <c r="BPI5" s="146"/>
      <c r="BPJ5" s="146"/>
      <c r="BPK5" s="146"/>
      <c r="BPL5" s="146"/>
      <c r="BPM5" s="146"/>
      <c r="BPN5" s="146"/>
      <c r="BPO5" s="146"/>
      <c r="BPP5" s="146"/>
      <c r="BPQ5" s="146"/>
      <c r="BPR5" s="146"/>
      <c r="BPS5" s="146"/>
      <c r="BPT5" s="146"/>
      <c r="BPU5" s="146"/>
      <c r="BPV5" s="146"/>
      <c r="BPW5" s="146"/>
      <c r="BPX5" s="146"/>
      <c r="BPY5" s="146"/>
      <c r="BPZ5" s="146"/>
      <c r="BQA5" s="146"/>
      <c r="BQB5" s="146"/>
      <c r="BQC5" s="146"/>
      <c r="BQD5" s="146"/>
      <c r="BQE5" s="146"/>
      <c r="BQF5" s="146"/>
      <c r="BQG5" s="146"/>
      <c r="BQH5" s="146"/>
      <c r="BQI5" s="146"/>
      <c r="BQJ5" s="146"/>
      <c r="BQK5" s="146"/>
      <c r="BQL5" s="146"/>
      <c r="BQM5" s="146"/>
      <c r="BQN5" s="146"/>
      <c r="BQO5" s="146"/>
      <c r="BQP5" s="146"/>
      <c r="BQQ5" s="146"/>
      <c r="BQR5" s="146"/>
      <c r="BQS5" s="146"/>
      <c r="BQT5" s="146"/>
      <c r="BQU5" s="146"/>
      <c r="BQV5" s="146"/>
      <c r="BQW5" s="146"/>
      <c r="BQX5" s="146"/>
      <c r="BQY5" s="146"/>
      <c r="BQZ5" s="146"/>
      <c r="BRA5" s="146"/>
      <c r="BRB5" s="146"/>
      <c r="BRC5" s="146"/>
      <c r="BRD5" s="146"/>
      <c r="BRE5" s="146"/>
      <c r="BRF5" s="146"/>
      <c r="BRG5" s="146"/>
      <c r="BRH5" s="146"/>
      <c r="BRI5" s="146"/>
      <c r="BRJ5" s="146"/>
      <c r="BRK5" s="146"/>
      <c r="BRL5" s="146"/>
      <c r="BRM5" s="146"/>
      <c r="BRN5" s="146"/>
      <c r="BRO5" s="146"/>
      <c r="BRP5" s="146"/>
      <c r="BRQ5" s="146"/>
      <c r="BRR5" s="146"/>
      <c r="BRS5" s="146"/>
      <c r="BRT5" s="146"/>
      <c r="BRU5" s="146"/>
      <c r="BRV5" s="146"/>
      <c r="BRW5" s="146"/>
      <c r="BRX5" s="146"/>
      <c r="BRY5" s="146"/>
      <c r="BRZ5" s="146"/>
      <c r="BSA5" s="146"/>
      <c r="BSB5" s="146"/>
      <c r="BSC5" s="146"/>
      <c r="BSD5" s="146"/>
      <c r="BSE5" s="146"/>
      <c r="BSF5" s="146"/>
      <c r="BSG5" s="146"/>
      <c r="BSH5" s="146"/>
      <c r="BSI5" s="146"/>
      <c r="BSJ5" s="146"/>
      <c r="BSK5" s="146"/>
      <c r="BSL5" s="146"/>
      <c r="BSM5" s="146"/>
      <c r="BSN5" s="146"/>
      <c r="BSO5" s="146"/>
      <c r="BSP5" s="146"/>
      <c r="BSQ5" s="146"/>
      <c r="BSR5" s="146"/>
      <c r="BSS5" s="146"/>
      <c r="BST5" s="146"/>
      <c r="BSU5" s="146"/>
      <c r="BSV5" s="146"/>
      <c r="BSW5" s="146"/>
      <c r="BSX5" s="146"/>
      <c r="BSY5" s="146"/>
      <c r="BSZ5" s="146"/>
      <c r="BTA5" s="146"/>
      <c r="BTB5" s="146"/>
      <c r="BTC5" s="146"/>
      <c r="BTD5" s="146"/>
      <c r="BTE5" s="146"/>
      <c r="BTF5" s="146"/>
      <c r="BTG5" s="146"/>
      <c r="BTH5" s="146"/>
      <c r="BTI5" s="146"/>
      <c r="BTJ5" s="146"/>
      <c r="BTK5" s="146"/>
      <c r="BTL5" s="146"/>
      <c r="BTM5" s="146"/>
      <c r="BTN5" s="146"/>
      <c r="BTO5" s="146"/>
      <c r="BTP5" s="146"/>
      <c r="BTQ5" s="146"/>
      <c r="BTR5" s="146"/>
      <c r="BTS5" s="146"/>
      <c r="BTT5" s="146"/>
      <c r="BTU5" s="146"/>
      <c r="BTV5" s="146"/>
      <c r="BTW5" s="146"/>
      <c r="BTX5" s="146"/>
      <c r="BTY5" s="146"/>
      <c r="BTZ5" s="146"/>
      <c r="BUA5" s="146"/>
      <c r="BUB5" s="146"/>
      <c r="BUC5" s="146"/>
      <c r="BUD5" s="146"/>
      <c r="BUE5" s="146"/>
      <c r="BUF5" s="146"/>
      <c r="BUG5" s="146"/>
      <c r="BUH5" s="146"/>
      <c r="BUI5" s="146"/>
      <c r="BUJ5" s="146"/>
      <c r="BUK5" s="146"/>
      <c r="BUL5" s="146"/>
      <c r="BUM5" s="146"/>
      <c r="BUN5" s="146"/>
      <c r="BUO5" s="146"/>
      <c r="BUP5" s="146"/>
      <c r="BUQ5" s="146"/>
      <c r="BUR5" s="146"/>
      <c r="BUS5" s="146"/>
      <c r="BUT5" s="146"/>
      <c r="BUU5" s="146"/>
      <c r="BUV5" s="146"/>
      <c r="BUW5" s="146"/>
      <c r="BUX5" s="146"/>
      <c r="BUY5" s="146"/>
      <c r="BUZ5" s="146"/>
      <c r="BVA5" s="146"/>
      <c r="BVB5" s="146"/>
      <c r="BVC5" s="146"/>
      <c r="BVD5" s="146"/>
      <c r="BVE5" s="146"/>
      <c r="BVF5" s="146"/>
      <c r="BVG5" s="146"/>
      <c r="BVH5" s="146"/>
      <c r="BVI5" s="146"/>
      <c r="BVJ5" s="146"/>
      <c r="BVK5" s="146"/>
      <c r="BVL5" s="146"/>
      <c r="BVM5" s="146"/>
      <c r="BVN5" s="146"/>
      <c r="BVO5" s="146"/>
      <c r="BVP5" s="146"/>
      <c r="BVQ5" s="146"/>
      <c r="BVR5" s="146"/>
      <c r="BVS5" s="146"/>
      <c r="BVT5" s="146"/>
      <c r="BVU5" s="146"/>
      <c r="BVV5" s="146"/>
      <c r="BVW5" s="146"/>
      <c r="BVX5" s="146"/>
      <c r="BVY5" s="146"/>
      <c r="BVZ5" s="146"/>
      <c r="BWA5" s="146"/>
      <c r="BWB5" s="146"/>
      <c r="BWC5" s="146"/>
      <c r="BWD5" s="146"/>
      <c r="BWE5" s="146"/>
      <c r="BWF5" s="146"/>
      <c r="BWG5" s="146"/>
      <c r="BWH5" s="146"/>
      <c r="BWI5" s="146"/>
      <c r="BWJ5" s="146"/>
      <c r="BWK5" s="146"/>
      <c r="BWL5" s="146"/>
      <c r="BWM5" s="146"/>
      <c r="BWN5" s="146"/>
      <c r="BWO5" s="146"/>
      <c r="BWP5" s="146"/>
      <c r="BWQ5" s="146"/>
      <c r="BWR5" s="146"/>
      <c r="BWS5" s="146"/>
      <c r="BWT5" s="146"/>
      <c r="BWU5" s="146"/>
      <c r="BWV5" s="146"/>
      <c r="BWW5" s="146"/>
      <c r="BWX5" s="146"/>
      <c r="BWY5" s="146"/>
      <c r="BWZ5" s="146"/>
      <c r="BXA5" s="146"/>
      <c r="BXB5" s="146"/>
      <c r="BXC5" s="146"/>
      <c r="BXD5" s="146"/>
      <c r="BXE5" s="146"/>
      <c r="BXF5" s="146"/>
      <c r="BXG5" s="146"/>
      <c r="BXH5" s="146"/>
      <c r="BXI5" s="146"/>
      <c r="BXJ5" s="146"/>
      <c r="BXK5" s="146"/>
      <c r="BXL5" s="146"/>
      <c r="BXM5" s="146"/>
      <c r="BXN5" s="146"/>
      <c r="BXO5" s="146"/>
      <c r="BXP5" s="146"/>
      <c r="BXQ5" s="146"/>
      <c r="BXR5" s="146"/>
      <c r="BXS5" s="146"/>
      <c r="BXT5" s="146"/>
      <c r="BXU5" s="146"/>
      <c r="BXV5" s="146"/>
      <c r="BXW5" s="146"/>
      <c r="BXX5" s="146"/>
      <c r="BXY5" s="146"/>
      <c r="BXZ5" s="146"/>
      <c r="BYA5" s="146"/>
      <c r="BYB5" s="146"/>
      <c r="BYC5" s="146"/>
      <c r="BYD5" s="146"/>
      <c r="BYE5" s="146"/>
      <c r="BYF5" s="146"/>
      <c r="BYG5" s="146"/>
      <c r="BYH5" s="146"/>
      <c r="BYI5" s="146"/>
      <c r="BYJ5" s="146"/>
      <c r="BYK5" s="146"/>
      <c r="BYL5" s="146"/>
      <c r="BYM5" s="146"/>
      <c r="BYN5" s="146"/>
      <c r="BYO5" s="146"/>
      <c r="BYP5" s="146"/>
      <c r="BYQ5" s="146"/>
      <c r="BYR5" s="146"/>
      <c r="BYS5" s="146"/>
      <c r="BYT5" s="146"/>
      <c r="BYU5" s="146"/>
      <c r="BYV5" s="146"/>
      <c r="BYW5" s="146"/>
      <c r="BYX5" s="146"/>
      <c r="BYY5" s="146"/>
      <c r="BYZ5" s="146"/>
      <c r="BZA5" s="146"/>
      <c r="BZB5" s="146"/>
      <c r="BZC5" s="146"/>
      <c r="BZD5" s="146"/>
      <c r="BZE5" s="146"/>
      <c r="BZF5" s="146"/>
      <c r="BZG5" s="146"/>
      <c r="BZH5" s="146"/>
      <c r="BZI5" s="146"/>
      <c r="BZJ5" s="146"/>
      <c r="BZK5" s="146"/>
      <c r="BZL5" s="146"/>
      <c r="BZM5" s="146"/>
      <c r="BZN5" s="146"/>
      <c r="BZO5" s="146"/>
      <c r="BZP5" s="146"/>
      <c r="BZQ5" s="146"/>
      <c r="BZR5" s="146"/>
      <c r="BZS5" s="146"/>
      <c r="BZT5" s="146"/>
      <c r="BZU5" s="146"/>
      <c r="BZV5" s="146"/>
      <c r="BZW5" s="146"/>
      <c r="BZX5" s="146"/>
      <c r="BZY5" s="146"/>
      <c r="BZZ5" s="146"/>
      <c r="CAA5" s="146"/>
      <c r="CAB5" s="146"/>
      <c r="CAC5" s="146"/>
      <c r="CAD5" s="146"/>
      <c r="CAE5" s="146"/>
      <c r="CAF5" s="146"/>
      <c r="CAG5" s="146"/>
      <c r="CAH5" s="146"/>
      <c r="CAI5" s="146"/>
      <c r="CAJ5" s="146"/>
      <c r="CAK5" s="146"/>
      <c r="CAL5" s="146"/>
      <c r="CAM5" s="146"/>
      <c r="CAN5" s="146"/>
      <c r="CAO5" s="146"/>
      <c r="CAP5" s="146"/>
      <c r="CAQ5" s="146"/>
      <c r="CAR5" s="146"/>
      <c r="CAS5" s="146"/>
      <c r="CAT5" s="146"/>
      <c r="CAU5" s="146"/>
      <c r="CAV5" s="146"/>
      <c r="CAW5" s="146"/>
      <c r="CAX5" s="146"/>
      <c r="CAY5" s="146"/>
      <c r="CAZ5" s="146"/>
      <c r="CBA5" s="146"/>
      <c r="CBB5" s="146"/>
      <c r="CBC5" s="146"/>
      <c r="CBD5" s="146"/>
      <c r="CBE5" s="146"/>
      <c r="CBF5" s="146"/>
      <c r="CBG5" s="146"/>
      <c r="CBH5" s="146"/>
      <c r="CBI5" s="146"/>
      <c r="CBJ5" s="146"/>
      <c r="CBK5" s="146"/>
      <c r="CBL5" s="146"/>
      <c r="CBM5" s="146"/>
      <c r="CBN5" s="146"/>
      <c r="CBO5" s="146"/>
      <c r="CBP5" s="146"/>
      <c r="CBQ5" s="146"/>
      <c r="CBR5" s="146"/>
      <c r="CBS5" s="146"/>
      <c r="CBT5" s="146"/>
      <c r="CBU5" s="146"/>
      <c r="CBV5" s="146"/>
      <c r="CBW5" s="146"/>
      <c r="CBX5" s="146"/>
      <c r="CBY5" s="146"/>
      <c r="CBZ5" s="146"/>
      <c r="CCA5" s="146"/>
      <c r="CCB5" s="146"/>
      <c r="CCC5" s="146"/>
      <c r="CCD5" s="146"/>
      <c r="CCE5" s="146"/>
      <c r="CCF5" s="146"/>
      <c r="CCG5" s="146"/>
      <c r="CCH5" s="146"/>
      <c r="CCI5" s="146"/>
      <c r="CCJ5" s="146"/>
      <c r="CCK5" s="146"/>
      <c r="CCL5" s="146"/>
      <c r="CCM5" s="146"/>
      <c r="CCN5" s="146"/>
      <c r="CCO5" s="146"/>
      <c r="CCP5" s="146"/>
      <c r="CCQ5" s="146"/>
      <c r="CCR5" s="146"/>
      <c r="CCS5" s="146"/>
      <c r="CCT5" s="146"/>
      <c r="CCU5" s="146"/>
      <c r="CCV5" s="146"/>
      <c r="CCW5" s="146"/>
      <c r="CCX5" s="146"/>
      <c r="CCY5" s="146"/>
      <c r="CCZ5" s="146"/>
      <c r="CDA5" s="146"/>
      <c r="CDB5" s="146"/>
      <c r="CDC5" s="146"/>
      <c r="CDD5" s="146"/>
      <c r="CDE5" s="146"/>
      <c r="CDF5" s="146"/>
      <c r="CDG5" s="146"/>
      <c r="CDH5" s="146"/>
      <c r="CDI5" s="146"/>
      <c r="CDJ5" s="146"/>
      <c r="CDK5" s="146"/>
      <c r="CDL5" s="146"/>
      <c r="CDM5" s="146"/>
      <c r="CDN5" s="146"/>
      <c r="CDO5" s="146"/>
      <c r="CDP5" s="146"/>
      <c r="CDQ5" s="146"/>
      <c r="CDR5" s="146"/>
      <c r="CDS5" s="146"/>
      <c r="CDT5" s="146"/>
      <c r="CDU5" s="146"/>
      <c r="CDV5" s="146"/>
      <c r="CDW5" s="146"/>
      <c r="CDX5" s="146"/>
      <c r="CDY5" s="146"/>
      <c r="CDZ5" s="146"/>
      <c r="CEA5" s="146"/>
      <c r="CEB5" s="146"/>
      <c r="CEC5" s="146"/>
      <c r="CED5" s="146"/>
      <c r="CEE5" s="146"/>
      <c r="CEF5" s="146"/>
      <c r="CEG5" s="146"/>
      <c r="CEH5" s="146"/>
      <c r="CEI5" s="146"/>
      <c r="CEJ5" s="146"/>
      <c r="CEK5" s="146"/>
      <c r="CEL5" s="146"/>
      <c r="CEM5" s="146"/>
      <c r="CEN5" s="146"/>
      <c r="CEO5" s="146"/>
      <c r="CEP5" s="146"/>
      <c r="CEQ5" s="146"/>
      <c r="CER5" s="146"/>
      <c r="CES5" s="146"/>
      <c r="CET5" s="146"/>
      <c r="CEU5" s="146"/>
      <c r="CEV5" s="146"/>
      <c r="CEW5" s="146"/>
      <c r="CEX5" s="146"/>
      <c r="CEY5" s="146"/>
      <c r="CEZ5" s="146"/>
      <c r="CFA5" s="146"/>
      <c r="CFB5" s="146"/>
      <c r="CFC5" s="146"/>
      <c r="CFD5" s="146"/>
      <c r="CFE5" s="146"/>
      <c r="CFF5" s="146"/>
      <c r="CFG5" s="146"/>
      <c r="CFH5" s="146"/>
      <c r="CFI5" s="146"/>
      <c r="CFJ5" s="146"/>
      <c r="CFK5" s="146"/>
      <c r="CFL5" s="146"/>
      <c r="CFM5" s="146"/>
      <c r="CFN5" s="146"/>
      <c r="CFO5" s="146"/>
      <c r="CFP5" s="146"/>
      <c r="CFQ5" s="146"/>
      <c r="CFR5" s="146"/>
      <c r="CFS5" s="146"/>
      <c r="CFT5" s="146"/>
      <c r="CFU5" s="146"/>
      <c r="CFV5" s="146"/>
      <c r="CFW5" s="146"/>
      <c r="CFX5" s="146"/>
      <c r="CFY5" s="146"/>
      <c r="CFZ5" s="146"/>
      <c r="CGA5" s="146"/>
      <c r="CGB5" s="146"/>
      <c r="CGC5" s="146"/>
      <c r="CGD5" s="146"/>
      <c r="CGE5" s="146"/>
      <c r="CGF5" s="146"/>
      <c r="CGG5" s="146"/>
      <c r="CGH5" s="146"/>
      <c r="CGI5" s="146"/>
      <c r="CGJ5" s="146"/>
      <c r="CGK5" s="146"/>
      <c r="CGL5" s="146"/>
      <c r="CGM5" s="146"/>
      <c r="CGN5" s="146"/>
      <c r="CGO5" s="146"/>
      <c r="CGP5" s="146"/>
      <c r="CGQ5" s="146"/>
      <c r="CGR5" s="146"/>
      <c r="CGS5" s="146"/>
      <c r="CGT5" s="146"/>
      <c r="CGU5" s="146"/>
      <c r="CGV5" s="146"/>
      <c r="CGW5" s="146"/>
      <c r="CGX5" s="146"/>
      <c r="CGY5" s="146"/>
      <c r="CGZ5" s="146"/>
      <c r="CHA5" s="146"/>
      <c r="CHB5" s="146"/>
      <c r="CHC5" s="146"/>
      <c r="CHD5" s="146"/>
      <c r="CHE5" s="146"/>
      <c r="CHF5" s="146"/>
      <c r="CHG5" s="146"/>
      <c r="CHH5" s="146"/>
      <c r="CHI5" s="146"/>
      <c r="CHJ5" s="146"/>
      <c r="CHK5" s="146"/>
      <c r="CHL5" s="146"/>
      <c r="CHM5" s="146"/>
      <c r="CHN5" s="146"/>
      <c r="CHO5" s="146"/>
      <c r="CHP5" s="146"/>
      <c r="CHQ5" s="146"/>
      <c r="CHR5" s="146"/>
      <c r="CHS5" s="146"/>
      <c r="CHT5" s="146"/>
      <c r="CHU5" s="146"/>
      <c r="CHV5" s="146"/>
      <c r="CHW5" s="146"/>
      <c r="CHX5" s="146"/>
      <c r="CHY5" s="146"/>
      <c r="CHZ5" s="146"/>
      <c r="CIA5" s="146"/>
      <c r="CIB5" s="146"/>
      <c r="CIC5" s="146"/>
      <c r="CID5" s="146"/>
      <c r="CIE5" s="146"/>
      <c r="CIF5" s="146"/>
      <c r="CIG5" s="146"/>
      <c r="CIH5" s="146"/>
      <c r="CII5" s="146"/>
      <c r="CIJ5" s="146"/>
      <c r="CIK5" s="146"/>
      <c r="CIL5" s="146"/>
      <c r="CIM5" s="146"/>
      <c r="CIN5" s="146"/>
      <c r="CIO5" s="146"/>
      <c r="CIP5" s="146"/>
      <c r="CIQ5" s="146"/>
      <c r="CIR5" s="146"/>
      <c r="CIS5" s="146"/>
      <c r="CIT5" s="146"/>
      <c r="CIU5" s="146"/>
      <c r="CIV5" s="146"/>
      <c r="CIW5" s="146"/>
      <c r="CIX5" s="146"/>
      <c r="CIY5" s="146"/>
      <c r="CIZ5" s="146"/>
      <c r="CJA5" s="146"/>
      <c r="CJB5" s="146"/>
      <c r="CJC5" s="146"/>
      <c r="CJD5" s="146"/>
      <c r="CJE5" s="146"/>
      <c r="CJF5" s="146"/>
      <c r="CJG5" s="146"/>
      <c r="CJH5" s="146"/>
      <c r="CJI5" s="146"/>
      <c r="CJJ5" s="146"/>
      <c r="CJK5" s="146"/>
      <c r="CJL5" s="146"/>
      <c r="CJM5" s="146"/>
      <c r="CJN5" s="146"/>
      <c r="CJO5" s="146"/>
      <c r="CJP5" s="146"/>
      <c r="CJQ5" s="146"/>
      <c r="CJR5" s="146"/>
      <c r="CJS5" s="146"/>
      <c r="CJT5" s="146"/>
      <c r="CJU5" s="146"/>
      <c r="CJV5" s="146"/>
      <c r="CJW5" s="146"/>
      <c r="CJX5" s="146"/>
      <c r="CJY5" s="146"/>
      <c r="CJZ5" s="146"/>
      <c r="CKA5" s="146"/>
      <c r="CKB5" s="146"/>
      <c r="CKC5" s="146"/>
      <c r="CKD5" s="146"/>
      <c r="CKE5" s="146"/>
      <c r="CKF5" s="146"/>
      <c r="CKG5" s="146"/>
      <c r="CKH5" s="146"/>
      <c r="CKI5" s="146"/>
      <c r="CKJ5" s="146"/>
      <c r="CKK5" s="146"/>
      <c r="CKL5" s="146"/>
      <c r="CKM5" s="146"/>
      <c r="CKN5" s="146"/>
      <c r="CKO5" s="146"/>
      <c r="CKP5" s="146"/>
      <c r="CKQ5" s="146"/>
      <c r="CKR5" s="146"/>
      <c r="CKS5" s="146"/>
      <c r="CKT5" s="146"/>
      <c r="CKU5" s="146"/>
      <c r="CKV5" s="146"/>
      <c r="CKW5" s="146"/>
      <c r="CKX5" s="146"/>
      <c r="CKY5" s="146"/>
      <c r="CKZ5" s="146"/>
      <c r="CLA5" s="146"/>
      <c r="CLB5" s="146"/>
      <c r="CLC5" s="146"/>
      <c r="CLD5" s="146"/>
      <c r="CLE5" s="146"/>
      <c r="CLF5" s="146"/>
      <c r="CLG5" s="146"/>
      <c r="CLH5" s="146"/>
      <c r="CLI5" s="146"/>
      <c r="CLJ5" s="146"/>
      <c r="CLK5" s="146"/>
      <c r="CLL5" s="146"/>
      <c r="CLM5" s="146"/>
      <c r="CLN5" s="146"/>
      <c r="CLO5" s="146"/>
      <c r="CLP5" s="146"/>
      <c r="CLQ5" s="146"/>
      <c r="CLR5" s="146"/>
      <c r="CLS5" s="146"/>
      <c r="CLT5" s="146"/>
      <c r="CLU5" s="146"/>
      <c r="CLV5" s="146"/>
      <c r="CLW5" s="146"/>
      <c r="CLX5" s="146"/>
      <c r="CLY5" s="146"/>
      <c r="CLZ5" s="146"/>
      <c r="CMA5" s="146"/>
      <c r="CMB5" s="146"/>
      <c r="CMC5" s="146"/>
      <c r="CMD5" s="146"/>
      <c r="CME5" s="146"/>
      <c r="CMF5" s="146"/>
      <c r="CMG5" s="146"/>
      <c r="CMH5" s="146"/>
      <c r="CMI5" s="146"/>
      <c r="CMJ5" s="146"/>
      <c r="CMK5" s="146"/>
      <c r="CML5" s="146"/>
      <c r="CMM5" s="146"/>
      <c r="CMN5" s="146"/>
      <c r="CMO5" s="146"/>
      <c r="CMP5" s="146"/>
      <c r="CMQ5" s="146"/>
      <c r="CMR5" s="146"/>
      <c r="CMS5" s="146"/>
      <c r="CMT5" s="146"/>
      <c r="CMU5" s="146"/>
      <c r="CMV5" s="146"/>
      <c r="CMW5" s="146"/>
      <c r="CMX5" s="146"/>
      <c r="CMY5" s="146"/>
      <c r="CMZ5" s="146"/>
      <c r="CNA5" s="146"/>
      <c r="CNB5" s="146"/>
      <c r="CNC5" s="146"/>
      <c r="CND5" s="146"/>
      <c r="CNE5" s="146"/>
      <c r="CNF5" s="146"/>
      <c r="CNG5" s="146"/>
      <c r="CNH5" s="146"/>
      <c r="CNI5" s="146"/>
      <c r="CNJ5" s="146"/>
      <c r="CNK5" s="146"/>
      <c r="CNL5" s="146"/>
      <c r="CNM5" s="146"/>
      <c r="CNN5" s="146"/>
      <c r="CNO5" s="146"/>
      <c r="CNP5" s="146"/>
      <c r="CNQ5" s="146"/>
      <c r="CNR5" s="146"/>
      <c r="CNS5" s="146"/>
      <c r="CNT5" s="146"/>
      <c r="CNU5" s="146"/>
      <c r="CNV5" s="146"/>
      <c r="CNW5" s="146"/>
      <c r="CNX5" s="146"/>
      <c r="CNY5" s="146"/>
      <c r="CNZ5" s="146"/>
      <c r="COA5" s="146"/>
      <c r="COB5" s="146"/>
      <c r="COC5" s="146"/>
      <c r="COD5" s="146"/>
      <c r="COE5" s="146"/>
      <c r="COF5" s="146"/>
      <c r="COG5" s="146"/>
      <c r="COH5" s="146"/>
      <c r="COI5" s="146"/>
      <c r="COJ5" s="146"/>
      <c r="COK5" s="146"/>
      <c r="COL5" s="146"/>
      <c r="COM5" s="146"/>
      <c r="CON5" s="146"/>
      <c r="COO5" s="146"/>
      <c r="COP5" s="146"/>
      <c r="COQ5" s="146"/>
      <c r="COR5" s="146"/>
      <c r="COS5" s="146"/>
      <c r="COT5" s="146"/>
      <c r="COU5" s="146"/>
      <c r="COV5" s="146"/>
      <c r="COW5" s="146"/>
      <c r="COX5" s="146"/>
      <c r="COY5" s="146"/>
      <c r="COZ5" s="146"/>
      <c r="CPA5" s="146"/>
      <c r="CPB5" s="146"/>
      <c r="CPC5" s="146"/>
      <c r="CPD5" s="146"/>
      <c r="CPE5" s="146"/>
      <c r="CPF5" s="146"/>
      <c r="CPG5" s="146"/>
      <c r="CPH5" s="146"/>
      <c r="CPI5" s="146"/>
      <c r="CPJ5" s="146"/>
      <c r="CPK5" s="146"/>
      <c r="CPL5" s="146"/>
      <c r="CPM5" s="146"/>
      <c r="CPN5" s="146"/>
      <c r="CPO5" s="146"/>
      <c r="CPP5" s="146"/>
      <c r="CPQ5" s="146"/>
      <c r="CPR5" s="146"/>
      <c r="CPS5" s="146"/>
      <c r="CPT5" s="146"/>
      <c r="CPU5" s="146"/>
      <c r="CPV5" s="146"/>
      <c r="CPW5" s="146"/>
      <c r="CPX5" s="146"/>
      <c r="CPY5" s="146"/>
      <c r="CPZ5" s="146"/>
      <c r="CQA5" s="146"/>
      <c r="CQB5" s="146"/>
      <c r="CQC5" s="146"/>
      <c r="CQD5" s="146"/>
      <c r="CQE5" s="146"/>
      <c r="CQF5" s="146"/>
      <c r="CQG5" s="146"/>
      <c r="CQH5" s="146"/>
      <c r="CQI5" s="146"/>
      <c r="CQJ5" s="146"/>
      <c r="CQK5" s="146"/>
      <c r="CQL5" s="146"/>
      <c r="CQM5" s="146"/>
      <c r="CQN5" s="146"/>
      <c r="CQO5" s="146"/>
      <c r="CQP5" s="146"/>
      <c r="CQQ5" s="146"/>
      <c r="CQR5" s="146"/>
      <c r="CQS5" s="146"/>
      <c r="CQT5" s="146"/>
      <c r="CQU5" s="146"/>
      <c r="CQV5" s="146"/>
      <c r="CQW5" s="146"/>
      <c r="CQX5" s="146"/>
      <c r="CQY5" s="146"/>
      <c r="CQZ5" s="146"/>
      <c r="CRA5" s="146"/>
      <c r="CRB5" s="146"/>
      <c r="CRC5" s="146"/>
      <c r="CRD5" s="146"/>
      <c r="CRE5" s="146"/>
      <c r="CRF5" s="146"/>
      <c r="CRG5" s="146"/>
      <c r="CRH5" s="146"/>
      <c r="CRI5" s="146"/>
      <c r="CRJ5" s="146"/>
      <c r="CRK5" s="146"/>
      <c r="CRL5" s="146"/>
      <c r="CRM5" s="146"/>
      <c r="CRN5" s="146"/>
      <c r="CRO5" s="146"/>
      <c r="CRP5" s="146"/>
      <c r="CRQ5" s="146"/>
      <c r="CRR5" s="146"/>
      <c r="CRS5" s="146"/>
      <c r="CRT5" s="146"/>
      <c r="CRU5" s="146"/>
      <c r="CRV5" s="146"/>
      <c r="CRW5" s="146"/>
      <c r="CRX5" s="146"/>
      <c r="CRY5" s="146"/>
      <c r="CRZ5" s="146"/>
      <c r="CSA5" s="146"/>
      <c r="CSB5" s="146"/>
      <c r="CSC5" s="146"/>
      <c r="CSD5" s="146"/>
      <c r="CSE5" s="146"/>
      <c r="CSF5" s="146"/>
      <c r="CSG5" s="146"/>
      <c r="CSH5" s="146"/>
      <c r="CSI5" s="146"/>
      <c r="CSJ5" s="146"/>
      <c r="CSK5" s="146"/>
      <c r="CSL5" s="146"/>
      <c r="CSM5" s="146"/>
      <c r="CSN5" s="146"/>
      <c r="CSO5" s="146"/>
      <c r="CSP5" s="146"/>
      <c r="CSQ5" s="146"/>
      <c r="CSR5" s="146"/>
      <c r="CSS5" s="146"/>
      <c r="CST5" s="146"/>
      <c r="CSU5" s="146"/>
      <c r="CSV5" s="146"/>
      <c r="CSW5" s="146"/>
      <c r="CSX5" s="146"/>
      <c r="CSY5" s="146"/>
      <c r="CSZ5" s="146"/>
      <c r="CTA5" s="146"/>
      <c r="CTB5" s="146"/>
      <c r="CTC5" s="146"/>
      <c r="CTD5" s="146"/>
      <c r="CTE5" s="146"/>
      <c r="CTF5" s="146"/>
      <c r="CTG5" s="146"/>
      <c r="CTH5" s="146"/>
      <c r="CTI5" s="146"/>
      <c r="CTJ5" s="146"/>
      <c r="CTK5" s="146"/>
      <c r="CTL5" s="146"/>
      <c r="CTM5" s="146"/>
      <c r="CTN5" s="146"/>
      <c r="CTO5" s="146"/>
      <c r="CTP5" s="146"/>
      <c r="CTQ5" s="146"/>
      <c r="CTR5" s="146"/>
      <c r="CTS5" s="146"/>
      <c r="CTT5" s="146"/>
      <c r="CTU5" s="146"/>
      <c r="CTV5" s="146"/>
      <c r="CTW5" s="146"/>
      <c r="CTX5" s="146"/>
      <c r="CTY5" s="146"/>
      <c r="CTZ5" s="146"/>
      <c r="CUA5" s="146"/>
      <c r="CUB5" s="146"/>
      <c r="CUC5" s="146"/>
      <c r="CUD5" s="146"/>
      <c r="CUE5" s="146"/>
      <c r="CUF5" s="146"/>
      <c r="CUG5" s="146"/>
      <c r="CUH5" s="146"/>
      <c r="CUI5" s="146"/>
      <c r="CUJ5" s="146"/>
      <c r="CUK5" s="146"/>
      <c r="CUL5" s="146"/>
      <c r="CUM5" s="146"/>
      <c r="CUN5" s="146"/>
      <c r="CUO5" s="146"/>
      <c r="CUP5" s="146"/>
      <c r="CUQ5" s="146"/>
      <c r="CUR5" s="146"/>
      <c r="CUS5" s="146"/>
      <c r="CUT5" s="146"/>
      <c r="CUU5" s="146"/>
      <c r="CUV5" s="146"/>
      <c r="CUW5" s="146"/>
      <c r="CUX5" s="146"/>
      <c r="CUY5" s="146"/>
      <c r="CUZ5" s="146"/>
      <c r="CVA5" s="146"/>
      <c r="CVB5" s="146"/>
      <c r="CVC5" s="146"/>
      <c r="CVD5" s="146"/>
      <c r="CVE5" s="146"/>
      <c r="CVF5" s="146"/>
      <c r="CVG5" s="146"/>
      <c r="CVH5" s="146"/>
      <c r="CVI5" s="146"/>
      <c r="CVJ5" s="146"/>
      <c r="CVK5" s="146"/>
      <c r="CVL5" s="146"/>
      <c r="CVM5" s="146"/>
      <c r="CVN5" s="146"/>
      <c r="CVO5" s="146"/>
      <c r="CVP5" s="146"/>
      <c r="CVQ5" s="146"/>
      <c r="CVR5" s="146"/>
      <c r="CVS5" s="146"/>
      <c r="CVT5" s="146"/>
      <c r="CVU5" s="146"/>
      <c r="CVV5" s="146"/>
      <c r="CVW5" s="146"/>
      <c r="CVX5" s="146"/>
      <c r="CVY5" s="146"/>
      <c r="CVZ5" s="146"/>
      <c r="CWA5" s="146"/>
      <c r="CWB5" s="146"/>
      <c r="CWC5" s="146"/>
      <c r="CWD5" s="146"/>
      <c r="CWE5" s="146"/>
      <c r="CWF5" s="146"/>
      <c r="CWG5" s="146"/>
      <c r="CWH5" s="146"/>
      <c r="CWI5" s="146"/>
      <c r="CWJ5" s="146"/>
      <c r="CWK5" s="146"/>
      <c r="CWL5" s="146"/>
      <c r="CWM5" s="146"/>
      <c r="CWN5" s="146"/>
      <c r="CWO5" s="146"/>
      <c r="CWP5" s="146"/>
      <c r="CWQ5" s="146"/>
      <c r="CWR5" s="146"/>
      <c r="CWS5" s="146"/>
      <c r="CWT5" s="146"/>
      <c r="CWU5" s="146"/>
      <c r="CWV5" s="146"/>
      <c r="CWW5" s="146"/>
      <c r="CWX5" s="146"/>
      <c r="CWY5" s="146"/>
      <c r="CWZ5" s="146"/>
      <c r="CXA5" s="146"/>
      <c r="CXB5" s="146"/>
      <c r="CXC5" s="146"/>
      <c r="CXD5" s="146"/>
      <c r="CXE5" s="146"/>
      <c r="CXF5" s="146"/>
      <c r="CXG5" s="146"/>
      <c r="CXH5" s="146"/>
      <c r="CXI5" s="146"/>
      <c r="CXJ5" s="146"/>
      <c r="CXK5" s="146"/>
      <c r="CXL5" s="146"/>
      <c r="CXM5" s="146"/>
      <c r="CXN5" s="146"/>
      <c r="CXO5" s="146"/>
      <c r="CXP5" s="146"/>
      <c r="CXQ5" s="146"/>
      <c r="CXR5" s="146"/>
      <c r="CXS5" s="146"/>
      <c r="CXT5" s="146"/>
      <c r="CXU5" s="146"/>
      <c r="CXV5" s="146"/>
      <c r="CXW5" s="146"/>
      <c r="CXX5" s="146"/>
      <c r="CXY5" s="146"/>
      <c r="CXZ5" s="146"/>
      <c r="CYA5" s="146"/>
      <c r="CYB5" s="146"/>
      <c r="CYC5" s="146"/>
      <c r="CYD5" s="146"/>
      <c r="CYE5" s="146"/>
      <c r="CYF5" s="146"/>
      <c r="CYG5" s="146"/>
      <c r="CYH5" s="146"/>
      <c r="CYI5" s="146"/>
      <c r="CYJ5" s="146"/>
      <c r="CYK5" s="146"/>
      <c r="CYL5" s="146"/>
      <c r="CYM5" s="146"/>
      <c r="CYN5" s="146"/>
      <c r="CYO5" s="146"/>
      <c r="CYP5" s="146"/>
      <c r="CYQ5" s="146"/>
      <c r="CYR5" s="146"/>
      <c r="CYS5" s="146"/>
      <c r="CYT5" s="146"/>
      <c r="CYU5" s="146"/>
      <c r="CYV5" s="146"/>
      <c r="CYW5" s="146"/>
      <c r="CYX5" s="146"/>
      <c r="CYY5" s="146"/>
      <c r="CYZ5" s="146"/>
      <c r="CZA5" s="146"/>
      <c r="CZB5" s="146"/>
      <c r="CZC5" s="146"/>
      <c r="CZD5" s="146"/>
      <c r="CZE5" s="146"/>
      <c r="CZF5" s="146"/>
      <c r="CZG5" s="146"/>
      <c r="CZH5" s="146"/>
      <c r="CZI5" s="146"/>
      <c r="CZJ5" s="146"/>
      <c r="CZK5" s="146"/>
      <c r="CZL5" s="146"/>
      <c r="CZM5" s="146"/>
      <c r="CZN5" s="146"/>
      <c r="CZO5" s="146"/>
      <c r="CZP5" s="146"/>
      <c r="CZQ5" s="146"/>
      <c r="CZR5" s="146"/>
      <c r="CZS5" s="146"/>
      <c r="CZT5" s="146"/>
      <c r="CZU5" s="146"/>
      <c r="CZV5" s="146"/>
      <c r="CZW5" s="146"/>
      <c r="CZX5" s="146"/>
      <c r="CZY5" s="146"/>
      <c r="CZZ5" s="146"/>
      <c r="DAA5" s="146"/>
      <c r="DAB5" s="146"/>
      <c r="DAC5" s="146"/>
      <c r="DAD5" s="146"/>
      <c r="DAE5" s="146"/>
      <c r="DAF5" s="146"/>
      <c r="DAG5" s="146"/>
      <c r="DAH5" s="146"/>
      <c r="DAI5" s="146"/>
      <c r="DAJ5" s="146"/>
      <c r="DAK5" s="146"/>
      <c r="DAL5" s="146"/>
      <c r="DAM5" s="146"/>
      <c r="DAN5" s="146"/>
      <c r="DAO5" s="146"/>
      <c r="DAP5" s="146"/>
      <c r="DAQ5" s="146"/>
      <c r="DAR5" s="146"/>
      <c r="DAS5" s="146"/>
      <c r="DAT5" s="146"/>
      <c r="DAU5" s="146"/>
      <c r="DAV5" s="146"/>
      <c r="DAW5" s="146"/>
      <c r="DAX5" s="146"/>
      <c r="DAY5" s="146"/>
      <c r="DAZ5" s="146"/>
      <c r="DBA5" s="146"/>
      <c r="DBB5" s="146"/>
      <c r="DBC5" s="146"/>
      <c r="DBD5" s="146"/>
      <c r="DBE5" s="146"/>
      <c r="DBF5" s="146"/>
      <c r="DBG5" s="146"/>
      <c r="DBH5" s="146"/>
      <c r="DBI5" s="146"/>
      <c r="DBJ5" s="146"/>
      <c r="DBK5" s="146"/>
      <c r="DBL5" s="146"/>
      <c r="DBM5" s="146"/>
      <c r="DBN5" s="146"/>
      <c r="DBO5" s="146"/>
      <c r="DBP5" s="146"/>
      <c r="DBQ5" s="146"/>
      <c r="DBR5" s="146"/>
      <c r="DBS5" s="146"/>
      <c r="DBT5" s="146"/>
      <c r="DBU5" s="146"/>
      <c r="DBV5" s="146"/>
      <c r="DBW5" s="146"/>
      <c r="DBX5" s="146"/>
      <c r="DBY5" s="146"/>
      <c r="DBZ5" s="146"/>
      <c r="DCA5" s="146"/>
      <c r="DCB5" s="146"/>
      <c r="DCC5" s="146"/>
      <c r="DCD5" s="146"/>
      <c r="DCE5" s="146"/>
      <c r="DCF5" s="146"/>
      <c r="DCG5" s="146"/>
      <c r="DCH5" s="146"/>
      <c r="DCI5" s="146"/>
      <c r="DCJ5" s="146"/>
      <c r="DCK5" s="146"/>
      <c r="DCL5" s="146"/>
      <c r="DCM5" s="146"/>
      <c r="DCN5" s="146"/>
      <c r="DCO5" s="146"/>
      <c r="DCP5" s="146"/>
      <c r="DCQ5" s="146"/>
      <c r="DCR5" s="146"/>
      <c r="DCS5" s="146"/>
      <c r="DCT5" s="146"/>
      <c r="DCU5" s="146"/>
      <c r="DCV5" s="146"/>
      <c r="DCW5" s="146"/>
      <c r="DCX5" s="146"/>
      <c r="DCY5" s="146"/>
      <c r="DCZ5" s="146"/>
      <c r="DDA5" s="146"/>
      <c r="DDB5" s="146"/>
      <c r="DDC5" s="146"/>
      <c r="DDD5" s="146"/>
      <c r="DDE5" s="146"/>
      <c r="DDF5" s="146"/>
      <c r="DDG5" s="146"/>
      <c r="DDH5" s="146"/>
      <c r="DDI5" s="146"/>
      <c r="DDJ5" s="146"/>
      <c r="DDK5" s="146"/>
      <c r="DDL5" s="146"/>
      <c r="DDM5" s="146"/>
      <c r="DDN5" s="146"/>
      <c r="DDO5" s="146"/>
      <c r="DDP5" s="146"/>
      <c r="DDQ5" s="146"/>
      <c r="DDR5" s="146"/>
      <c r="DDS5" s="146"/>
      <c r="DDT5" s="146"/>
      <c r="DDU5" s="146"/>
      <c r="DDV5" s="146"/>
      <c r="DDW5" s="146"/>
      <c r="DDX5" s="146"/>
      <c r="DDY5" s="146"/>
      <c r="DDZ5" s="146"/>
      <c r="DEA5" s="146"/>
      <c r="DEB5" s="146"/>
      <c r="DEC5" s="146"/>
      <c r="DED5" s="146"/>
      <c r="DEE5" s="146"/>
      <c r="DEF5" s="146"/>
      <c r="DEG5" s="146"/>
      <c r="DEH5" s="146"/>
      <c r="DEI5" s="146"/>
      <c r="DEJ5" s="146"/>
      <c r="DEK5" s="146"/>
      <c r="DEL5" s="146"/>
      <c r="DEM5" s="146"/>
      <c r="DEN5" s="146"/>
      <c r="DEO5" s="146"/>
      <c r="DEP5" s="146"/>
      <c r="DEQ5" s="146"/>
      <c r="DER5" s="146"/>
      <c r="DES5" s="146"/>
      <c r="DET5" s="146"/>
      <c r="DEU5" s="146"/>
      <c r="DEV5" s="146"/>
      <c r="DEW5" s="146"/>
      <c r="DEX5" s="146"/>
      <c r="DEY5" s="146"/>
      <c r="DEZ5" s="146"/>
      <c r="DFA5" s="146"/>
      <c r="DFB5" s="146"/>
      <c r="DFC5" s="146"/>
      <c r="DFD5" s="146"/>
      <c r="DFE5" s="146"/>
      <c r="DFF5" s="146"/>
      <c r="DFG5" s="146"/>
      <c r="DFH5" s="146"/>
      <c r="DFI5" s="146"/>
      <c r="DFJ5" s="146"/>
      <c r="DFK5" s="146"/>
      <c r="DFL5" s="146"/>
      <c r="DFM5" s="146"/>
      <c r="DFN5" s="146"/>
      <c r="DFO5" s="146"/>
      <c r="DFP5" s="146"/>
      <c r="DFQ5" s="146"/>
      <c r="DFR5" s="146"/>
      <c r="DFS5" s="146"/>
      <c r="DFT5" s="146"/>
      <c r="DFU5" s="146"/>
      <c r="DFV5" s="146"/>
      <c r="DFW5" s="146"/>
      <c r="DFX5" s="146"/>
      <c r="DFY5" s="146"/>
      <c r="DFZ5" s="146"/>
      <c r="DGA5" s="146"/>
      <c r="DGB5" s="146"/>
      <c r="DGC5" s="146"/>
      <c r="DGD5" s="146"/>
      <c r="DGE5" s="146"/>
      <c r="DGF5" s="146"/>
      <c r="DGG5" s="146"/>
      <c r="DGH5" s="146"/>
      <c r="DGI5" s="146"/>
      <c r="DGJ5" s="146"/>
      <c r="DGK5" s="146"/>
      <c r="DGL5" s="146"/>
      <c r="DGM5" s="146"/>
      <c r="DGN5" s="146"/>
      <c r="DGO5" s="146"/>
      <c r="DGP5" s="146"/>
      <c r="DGQ5" s="146"/>
      <c r="DGR5" s="146"/>
      <c r="DGS5" s="146"/>
      <c r="DGT5" s="146"/>
      <c r="DGU5" s="146"/>
      <c r="DGV5" s="146"/>
      <c r="DGW5" s="146"/>
      <c r="DGX5" s="146"/>
      <c r="DGY5" s="146"/>
      <c r="DGZ5" s="146"/>
      <c r="DHA5" s="146"/>
      <c r="DHB5" s="146"/>
      <c r="DHC5" s="146"/>
      <c r="DHD5" s="146"/>
      <c r="DHE5" s="146"/>
      <c r="DHF5" s="146"/>
      <c r="DHG5" s="146"/>
      <c r="DHH5" s="146"/>
      <c r="DHI5" s="146"/>
      <c r="DHJ5" s="146"/>
      <c r="DHK5" s="146"/>
      <c r="DHL5" s="146"/>
      <c r="DHM5" s="146"/>
      <c r="DHN5" s="146"/>
      <c r="DHO5" s="146"/>
      <c r="DHP5" s="146"/>
      <c r="DHQ5" s="146"/>
      <c r="DHR5" s="146"/>
      <c r="DHS5" s="146"/>
      <c r="DHT5" s="146"/>
      <c r="DHU5" s="146"/>
      <c r="DHV5" s="146"/>
      <c r="DHW5" s="146"/>
      <c r="DHX5" s="146"/>
      <c r="DHY5" s="146"/>
      <c r="DHZ5" s="146"/>
      <c r="DIA5" s="146"/>
      <c r="DIB5" s="146"/>
      <c r="DIC5" s="146"/>
      <c r="DID5" s="146"/>
      <c r="DIE5" s="146"/>
      <c r="DIF5" s="146"/>
      <c r="DIG5" s="146"/>
      <c r="DIH5" s="146"/>
      <c r="DII5" s="146"/>
      <c r="DIJ5" s="146"/>
      <c r="DIK5" s="146"/>
      <c r="DIL5" s="146"/>
      <c r="DIM5" s="146"/>
      <c r="DIN5" s="146"/>
      <c r="DIO5" s="146"/>
      <c r="DIP5" s="146"/>
      <c r="DIQ5" s="146"/>
      <c r="DIR5" s="146"/>
      <c r="DIS5" s="146"/>
      <c r="DIT5" s="146"/>
      <c r="DIU5" s="146"/>
      <c r="DIV5" s="146"/>
      <c r="DIW5" s="146"/>
      <c r="DIX5" s="146"/>
      <c r="DIY5" s="146"/>
      <c r="DIZ5" s="146"/>
      <c r="DJA5" s="146"/>
      <c r="DJB5" s="146"/>
      <c r="DJC5" s="146"/>
      <c r="DJD5" s="146"/>
      <c r="DJE5" s="146"/>
      <c r="DJF5" s="146"/>
      <c r="DJG5" s="146"/>
      <c r="DJH5" s="146"/>
      <c r="DJI5" s="146"/>
      <c r="DJJ5" s="146"/>
      <c r="DJK5" s="146"/>
      <c r="DJL5" s="146"/>
      <c r="DJM5" s="146"/>
      <c r="DJN5" s="146"/>
      <c r="DJO5" s="146"/>
      <c r="DJP5" s="146"/>
      <c r="DJQ5" s="146"/>
      <c r="DJR5" s="146"/>
      <c r="DJS5" s="146"/>
      <c r="DJT5" s="146"/>
      <c r="DJU5" s="146"/>
      <c r="DJV5" s="146"/>
      <c r="DJW5" s="146"/>
      <c r="DJX5" s="146"/>
      <c r="DJY5" s="146"/>
      <c r="DJZ5" s="146"/>
      <c r="DKA5" s="146"/>
      <c r="DKB5" s="146"/>
      <c r="DKC5" s="146"/>
      <c r="DKD5" s="146"/>
      <c r="DKE5" s="146"/>
      <c r="DKF5" s="146"/>
      <c r="DKG5" s="146"/>
      <c r="DKH5" s="146"/>
      <c r="DKI5" s="146"/>
      <c r="DKJ5" s="146"/>
      <c r="DKK5" s="146"/>
      <c r="DKL5" s="146"/>
      <c r="DKM5" s="146"/>
      <c r="DKN5" s="146"/>
      <c r="DKO5" s="146"/>
      <c r="DKP5" s="146"/>
      <c r="DKQ5" s="146"/>
      <c r="DKR5" s="146"/>
      <c r="DKS5" s="146"/>
      <c r="DKT5" s="146"/>
      <c r="DKU5" s="146"/>
      <c r="DKV5" s="146"/>
      <c r="DKW5" s="146"/>
      <c r="DKX5" s="146"/>
      <c r="DKY5" s="146"/>
      <c r="DKZ5" s="146"/>
      <c r="DLA5" s="146"/>
      <c r="DLB5" s="146"/>
      <c r="DLC5" s="146"/>
      <c r="DLD5" s="146"/>
      <c r="DLE5" s="146"/>
      <c r="DLF5" s="146"/>
      <c r="DLG5" s="146"/>
      <c r="DLH5" s="146"/>
      <c r="DLI5" s="146"/>
      <c r="DLJ5" s="146"/>
      <c r="DLK5" s="146"/>
      <c r="DLL5" s="146"/>
      <c r="DLM5" s="146"/>
      <c r="DLN5" s="146"/>
      <c r="DLO5" s="146"/>
      <c r="DLP5" s="146"/>
      <c r="DLQ5" s="146"/>
      <c r="DLR5" s="146"/>
      <c r="DLS5" s="146"/>
      <c r="DLT5" s="146"/>
      <c r="DLU5" s="146"/>
      <c r="DLV5" s="146"/>
      <c r="DLW5" s="146"/>
      <c r="DLX5" s="146"/>
      <c r="DLY5" s="146"/>
      <c r="DLZ5" s="146"/>
      <c r="DMA5" s="146"/>
      <c r="DMB5" s="146"/>
      <c r="DMC5" s="146"/>
      <c r="DMD5" s="146"/>
      <c r="DME5" s="146"/>
      <c r="DMF5" s="146"/>
      <c r="DMG5" s="146"/>
      <c r="DMH5" s="146"/>
      <c r="DMI5" s="146"/>
      <c r="DMJ5" s="146"/>
      <c r="DMK5" s="146"/>
      <c r="DML5" s="146"/>
      <c r="DMM5" s="146"/>
      <c r="DMN5" s="146"/>
      <c r="DMO5" s="146"/>
      <c r="DMP5" s="146"/>
      <c r="DMQ5" s="146"/>
      <c r="DMR5" s="146"/>
      <c r="DMS5" s="146"/>
      <c r="DMT5" s="146"/>
      <c r="DMU5" s="146"/>
      <c r="DMV5" s="146"/>
      <c r="DMW5" s="146"/>
      <c r="DMX5" s="146"/>
      <c r="DMY5" s="146"/>
      <c r="DMZ5" s="146"/>
      <c r="DNA5" s="146"/>
      <c r="DNB5" s="146"/>
      <c r="DNC5" s="146"/>
      <c r="DND5" s="146"/>
      <c r="DNE5" s="146"/>
      <c r="DNF5" s="146"/>
      <c r="DNG5" s="146"/>
      <c r="DNH5" s="146"/>
      <c r="DNI5" s="146"/>
      <c r="DNJ5" s="146"/>
      <c r="DNK5" s="146"/>
      <c r="DNL5" s="146"/>
      <c r="DNM5" s="146"/>
      <c r="DNN5" s="146"/>
      <c r="DNO5" s="146"/>
      <c r="DNP5" s="146"/>
      <c r="DNQ5" s="146"/>
      <c r="DNR5" s="146"/>
      <c r="DNS5" s="146"/>
      <c r="DNT5" s="146"/>
      <c r="DNU5" s="146"/>
      <c r="DNV5" s="146"/>
      <c r="DNW5" s="146"/>
      <c r="DNX5" s="146"/>
      <c r="DNY5" s="146"/>
      <c r="DNZ5" s="146"/>
      <c r="DOA5" s="146"/>
      <c r="DOB5" s="146"/>
      <c r="DOC5" s="146"/>
      <c r="DOD5" s="146"/>
      <c r="DOE5" s="146"/>
      <c r="DOF5" s="146"/>
      <c r="DOG5" s="146"/>
      <c r="DOH5" s="146"/>
      <c r="DOI5" s="146"/>
      <c r="DOJ5" s="146"/>
      <c r="DOK5" s="146"/>
      <c r="DOL5" s="146"/>
      <c r="DOM5" s="146"/>
      <c r="DON5" s="146"/>
      <c r="DOO5" s="146"/>
      <c r="DOP5" s="146"/>
      <c r="DOQ5" s="146"/>
      <c r="DOR5" s="146"/>
      <c r="DOS5" s="146"/>
      <c r="DOT5" s="146"/>
      <c r="DOU5" s="146"/>
      <c r="DOV5" s="146"/>
      <c r="DOW5" s="146"/>
      <c r="DOX5" s="146"/>
      <c r="DOY5" s="146"/>
      <c r="DOZ5" s="146"/>
      <c r="DPA5" s="146"/>
      <c r="DPB5" s="146"/>
      <c r="DPC5" s="146"/>
      <c r="DPD5" s="146"/>
      <c r="DPE5" s="146"/>
      <c r="DPF5" s="146"/>
      <c r="DPG5" s="146"/>
      <c r="DPH5" s="146"/>
      <c r="DPI5" s="146"/>
      <c r="DPJ5" s="146"/>
      <c r="DPK5" s="146"/>
      <c r="DPL5" s="146"/>
      <c r="DPM5" s="146"/>
      <c r="DPN5" s="146"/>
      <c r="DPO5" s="146"/>
      <c r="DPP5" s="146"/>
      <c r="DPQ5" s="146"/>
      <c r="DPR5" s="146"/>
      <c r="DPS5" s="146"/>
      <c r="DPT5" s="146"/>
      <c r="DPU5" s="146"/>
      <c r="DPV5" s="146"/>
      <c r="DPW5" s="146"/>
      <c r="DPX5" s="146"/>
      <c r="DPY5" s="146"/>
      <c r="DPZ5" s="146"/>
      <c r="DQA5" s="146"/>
      <c r="DQB5" s="146"/>
      <c r="DQC5" s="146"/>
      <c r="DQD5" s="146"/>
      <c r="DQE5" s="146"/>
      <c r="DQF5" s="146"/>
      <c r="DQG5" s="146"/>
      <c r="DQH5" s="146"/>
      <c r="DQI5" s="146"/>
      <c r="DQJ5" s="146"/>
      <c r="DQK5" s="146"/>
      <c r="DQL5" s="146"/>
      <c r="DQM5" s="146"/>
      <c r="DQN5" s="146"/>
      <c r="DQO5" s="146"/>
      <c r="DQP5" s="146"/>
      <c r="DQQ5" s="146"/>
      <c r="DQR5" s="146"/>
      <c r="DQS5" s="146"/>
      <c r="DQT5" s="146"/>
      <c r="DQU5" s="146"/>
      <c r="DQV5" s="146"/>
      <c r="DQW5" s="146"/>
      <c r="DQX5" s="146"/>
      <c r="DQY5" s="146"/>
      <c r="DQZ5" s="146"/>
      <c r="DRA5" s="146"/>
      <c r="DRB5" s="146"/>
      <c r="DRC5" s="146"/>
      <c r="DRD5" s="146"/>
      <c r="DRE5" s="146"/>
      <c r="DRF5" s="146"/>
      <c r="DRG5" s="146"/>
      <c r="DRH5" s="146"/>
      <c r="DRI5" s="146"/>
      <c r="DRJ5" s="146"/>
      <c r="DRK5" s="146"/>
      <c r="DRL5" s="146"/>
      <c r="DRM5" s="146"/>
      <c r="DRN5" s="146"/>
      <c r="DRO5" s="146"/>
      <c r="DRP5" s="146"/>
      <c r="DRQ5" s="146"/>
      <c r="DRR5" s="146"/>
      <c r="DRS5" s="146"/>
      <c r="DRT5" s="146"/>
      <c r="DRU5" s="146"/>
      <c r="DRV5" s="146"/>
      <c r="DRW5" s="146"/>
      <c r="DRX5" s="146"/>
      <c r="DRY5" s="146"/>
      <c r="DRZ5" s="146"/>
      <c r="DSA5" s="146"/>
      <c r="DSB5" s="146"/>
      <c r="DSC5" s="146"/>
      <c r="DSD5" s="146"/>
      <c r="DSE5" s="146"/>
      <c r="DSF5" s="146"/>
      <c r="DSG5" s="146"/>
      <c r="DSH5" s="146"/>
      <c r="DSI5" s="146"/>
      <c r="DSJ5" s="146"/>
      <c r="DSK5" s="146"/>
      <c r="DSL5" s="146"/>
      <c r="DSM5" s="146"/>
      <c r="DSN5" s="146"/>
      <c r="DSO5" s="146"/>
      <c r="DSP5" s="146"/>
      <c r="DSQ5" s="146"/>
      <c r="DSR5" s="146"/>
      <c r="DSS5" s="146"/>
      <c r="DST5" s="146"/>
      <c r="DSU5" s="146"/>
      <c r="DSV5" s="146"/>
      <c r="DSW5" s="146"/>
      <c r="DSX5" s="146"/>
      <c r="DSY5" s="146"/>
      <c r="DSZ5" s="146"/>
      <c r="DTA5" s="146"/>
      <c r="DTB5" s="146"/>
      <c r="DTC5" s="146"/>
      <c r="DTD5" s="146"/>
      <c r="DTE5" s="146"/>
      <c r="DTF5" s="146"/>
      <c r="DTG5" s="146"/>
      <c r="DTH5" s="146"/>
      <c r="DTI5" s="146"/>
      <c r="DTJ5" s="146"/>
      <c r="DTK5" s="146"/>
      <c r="DTL5" s="146"/>
      <c r="DTM5" s="146"/>
      <c r="DTN5" s="146"/>
      <c r="DTO5" s="146"/>
      <c r="DTP5" s="146"/>
      <c r="DTQ5" s="146"/>
      <c r="DTR5" s="146"/>
      <c r="DTS5" s="146"/>
      <c r="DTT5" s="146"/>
      <c r="DTU5" s="146"/>
      <c r="DTV5" s="146"/>
      <c r="DTW5" s="146"/>
      <c r="DTX5" s="146"/>
      <c r="DTY5" s="146"/>
      <c r="DTZ5" s="146"/>
      <c r="DUA5" s="146"/>
      <c r="DUB5" s="146"/>
      <c r="DUC5" s="146"/>
      <c r="DUD5" s="146"/>
      <c r="DUE5" s="146"/>
      <c r="DUF5" s="146"/>
      <c r="DUG5" s="146"/>
      <c r="DUH5" s="146"/>
      <c r="DUI5" s="146"/>
      <c r="DUJ5" s="146"/>
      <c r="DUK5" s="146"/>
      <c r="DUL5" s="146"/>
      <c r="DUM5" s="146"/>
      <c r="DUN5" s="146"/>
      <c r="DUO5" s="146"/>
      <c r="DUP5" s="146"/>
      <c r="DUQ5" s="146"/>
      <c r="DUR5" s="146"/>
      <c r="DUS5" s="146"/>
      <c r="DUT5" s="146"/>
      <c r="DUU5" s="146"/>
      <c r="DUV5" s="146"/>
      <c r="DUW5" s="146"/>
      <c r="DUX5" s="146"/>
      <c r="DUY5" s="146"/>
      <c r="DUZ5" s="146"/>
      <c r="DVA5" s="146"/>
      <c r="DVB5" s="146"/>
      <c r="DVC5" s="146"/>
      <c r="DVD5" s="146"/>
      <c r="DVE5" s="146"/>
      <c r="DVF5" s="146"/>
      <c r="DVG5" s="146"/>
      <c r="DVH5" s="146"/>
      <c r="DVI5" s="146"/>
      <c r="DVJ5" s="146"/>
      <c r="DVK5" s="146"/>
      <c r="DVL5" s="146"/>
      <c r="DVM5" s="146"/>
      <c r="DVN5" s="146"/>
      <c r="DVO5" s="146"/>
      <c r="DVP5" s="146"/>
      <c r="DVQ5" s="146"/>
      <c r="DVR5" s="146"/>
      <c r="DVS5" s="146"/>
      <c r="DVT5" s="146"/>
      <c r="DVU5" s="146"/>
      <c r="DVV5" s="146"/>
      <c r="DVW5" s="146"/>
      <c r="DVX5" s="146"/>
      <c r="DVY5" s="146"/>
      <c r="DVZ5" s="146"/>
      <c r="DWA5" s="146"/>
      <c r="DWB5" s="146"/>
      <c r="DWC5" s="146"/>
      <c r="DWD5" s="146"/>
      <c r="DWE5" s="146"/>
      <c r="DWF5" s="146"/>
      <c r="DWG5" s="146"/>
      <c r="DWH5" s="146"/>
      <c r="DWI5" s="146"/>
      <c r="DWJ5" s="146"/>
      <c r="DWK5" s="146"/>
      <c r="DWL5" s="146"/>
      <c r="DWM5" s="146"/>
      <c r="DWN5" s="146"/>
      <c r="DWO5" s="146"/>
      <c r="DWP5" s="146"/>
      <c r="DWQ5" s="146"/>
      <c r="DWR5" s="146"/>
      <c r="DWS5" s="146"/>
      <c r="DWT5" s="146"/>
      <c r="DWU5" s="146"/>
      <c r="DWV5" s="146"/>
      <c r="DWW5" s="146"/>
      <c r="DWX5" s="146"/>
      <c r="DWY5" s="146"/>
      <c r="DWZ5" s="146"/>
      <c r="DXA5" s="146"/>
      <c r="DXB5" s="146"/>
      <c r="DXC5" s="146"/>
      <c r="DXD5" s="146"/>
      <c r="DXE5" s="146"/>
      <c r="DXF5" s="146"/>
      <c r="DXG5" s="146"/>
      <c r="DXH5" s="146"/>
      <c r="DXI5" s="146"/>
      <c r="DXJ5" s="146"/>
      <c r="DXK5" s="146"/>
      <c r="DXL5" s="146"/>
      <c r="DXM5" s="146"/>
      <c r="DXN5" s="146"/>
      <c r="DXO5" s="146"/>
      <c r="DXP5" s="146"/>
      <c r="DXQ5" s="146"/>
      <c r="DXR5" s="146"/>
      <c r="DXS5" s="146"/>
      <c r="DXT5" s="146"/>
      <c r="DXU5" s="146"/>
      <c r="DXV5" s="146"/>
      <c r="DXW5" s="146"/>
      <c r="DXX5" s="146"/>
      <c r="DXY5" s="146"/>
      <c r="DXZ5" s="146"/>
      <c r="DYA5" s="146"/>
      <c r="DYB5" s="146"/>
      <c r="DYC5" s="146"/>
      <c r="DYD5" s="146"/>
      <c r="DYE5" s="146"/>
      <c r="DYF5" s="146"/>
      <c r="DYG5" s="146"/>
      <c r="DYH5" s="146"/>
      <c r="DYI5" s="146"/>
      <c r="DYJ5" s="146"/>
      <c r="DYK5" s="146"/>
      <c r="DYL5" s="146"/>
      <c r="DYM5" s="146"/>
      <c r="DYN5" s="146"/>
      <c r="DYO5" s="146"/>
      <c r="DYP5" s="146"/>
      <c r="DYQ5" s="146"/>
      <c r="DYR5" s="146"/>
      <c r="DYS5" s="146"/>
      <c r="DYT5" s="146"/>
      <c r="DYU5" s="146"/>
      <c r="DYV5" s="146"/>
      <c r="DYW5" s="146"/>
      <c r="DYX5" s="146"/>
      <c r="DYY5" s="146"/>
      <c r="DYZ5" s="146"/>
      <c r="DZA5" s="146"/>
      <c r="DZB5" s="146"/>
      <c r="DZC5" s="146"/>
      <c r="DZD5" s="146"/>
      <c r="DZE5" s="146"/>
      <c r="DZF5" s="146"/>
      <c r="DZG5" s="146"/>
      <c r="DZH5" s="146"/>
      <c r="DZI5" s="146"/>
      <c r="DZJ5" s="146"/>
      <c r="DZK5" s="146"/>
      <c r="DZL5" s="146"/>
      <c r="DZM5" s="146"/>
      <c r="DZN5" s="146"/>
      <c r="DZO5" s="146"/>
      <c r="DZP5" s="146"/>
      <c r="DZQ5" s="146"/>
      <c r="DZR5" s="146"/>
      <c r="DZS5" s="146"/>
      <c r="DZT5" s="146"/>
      <c r="DZU5" s="146"/>
      <c r="DZV5" s="146"/>
      <c r="DZW5" s="146"/>
      <c r="DZX5" s="146"/>
      <c r="DZY5" s="146"/>
      <c r="DZZ5" s="146"/>
      <c r="EAA5" s="146"/>
      <c r="EAB5" s="146"/>
      <c r="EAC5" s="146"/>
      <c r="EAD5" s="146"/>
      <c r="EAE5" s="146"/>
      <c r="EAF5" s="146"/>
      <c r="EAG5" s="146"/>
      <c r="EAH5" s="146"/>
      <c r="EAI5" s="146"/>
      <c r="EAJ5" s="146"/>
      <c r="EAK5" s="146"/>
      <c r="EAL5" s="146"/>
      <c r="EAM5" s="146"/>
      <c r="EAN5" s="146"/>
      <c r="EAO5" s="146"/>
      <c r="EAP5" s="146"/>
      <c r="EAQ5" s="146"/>
      <c r="EAR5" s="146"/>
      <c r="EAS5" s="146"/>
      <c r="EAT5" s="146"/>
      <c r="EAU5" s="146"/>
      <c r="EAV5" s="146"/>
      <c r="EAW5" s="146"/>
      <c r="EAX5" s="146"/>
      <c r="EAY5" s="146"/>
      <c r="EAZ5" s="146"/>
      <c r="EBA5" s="146"/>
      <c r="EBB5" s="146"/>
      <c r="EBC5" s="146"/>
      <c r="EBD5" s="146"/>
      <c r="EBE5" s="146"/>
      <c r="EBF5" s="146"/>
      <c r="EBG5" s="146"/>
      <c r="EBH5" s="146"/>
      <c r="EBI5" s="146"/>
      <c r="EBJ5" s="146"/>
      <c r="EBK5" s="146"/>
      <c r="EBL5" s="146"/>
      <c r="EBM5" s="146"/>
      <c r="EBN5" s="146"/>
      <c r="EBO5" s="146"/>
      <c r="EBP5" s="146"/>
      <c r="EBQ5" s="146"/>
      <c r="EBR5" s="146"/>
      <c r="EBS5" s="146"/>
      <c r="EBT5" s="146"/>
      <c r="EBU5" s="146"/>
      <c r="EBV5" s="146"/>
      <c r="EBW5" s="146"/>
      <c r="EBX5" s="146"/>
      <c r="EBY5" s="146"/>
      <c r="EBZ5" s="146"/>
      <c r="ECA5" s="146"/>
      <c r="ECB5" s="146"/>
      <c r="ECC5" s="146"/>
      <c r="ECD5" s="146"/>
      <c r="ECE5" s="146"/>
      <c r="ECF5" s="146"/>
      <c r="ECG5" s="146"/>
      <c r="ECH5" s="146"/>
      <c r="ECI5" s="146"/>
      <c r="ECJ5" s="146"/>
      <c r="ECK5" s="146"/>
      <c r="ECL5" s="146"/>
      <c r="ECM5" s="146"/>
      <c r="ECN5" s="146"/>
      <c r="ECO5" s="146"/>
      <c r="ECP5" s="146"/>
      <c r="ECQ5" s="146"/>
      <c r="ECR5" s="146"/>
      <c r="ECS5" s="146"/>
      <c r="ECT5" s="146"/>
      <c r="ECU5" s="146"/>
      <c r="ECV5" s="146"/>
      <c r="ECW5" s="146"/>
      <c r="ECX5" s="146"/>
      <c r="ECY5" s="146"/>
      <c r="ECZ5" s="146"/>
      <c r="EDA5" s="146"/>
      <c r="EDB5" s="146"/>
      <c r="EDC5" s="146"/>
      <c r="EDD5" s="146"/>
      <c r="EDE5" s="146"/>
      <c r="EDF5" s="146"/>
      <c r="EDG5" s="146"/>
      <c r="EDH5" s="146"/>
      <c r="EDI5" s="146"/>
      <c r="EDJ5" s="146"/>
      <c r="EDK5" s="146"/>
      <c r="EDL5" s="146"/>
      <c r="EDM5" s="146"/>
      <c r="EDN5" s="146"/>
      <c r="EDO5" s="146"/>
      <c r="EDP5" s="146"/>
      <c r="EDQ5" s="146"/>
      <c r="EDR5" s="146"/>
      <c r="EDS5" s="146"/>
      <c r="EDT5" s="146"/>
      <c r="EDU5" s="146"/>
      <c r="EDV5" s="146"/>
      <c r="EDW5" s="146"/>
      <c r="EDX5" s="146"/>
      <c r="EDY5" s="146"/>
      <c r="EDZ5" s="146"/>
      <c r="EEA5" s="146"/>
      <c r="EEB5" s="146"/>
      <c r="EEC5" s="146"/>
      <c r="EED5" s="146"/>
      <c r="EEE5" s="146"/>
      <c r="EEF5" s="146"/>
      <c r="EEG5" s="146"/>
      <c r="EEH5" s="146"/>
      <c r="EEI5" s="146"/>
      <c r="EEJ5" s="146"/>
      <c r="EEK5" s="146"/>
      <c r="EEL5" s="146"/>
      <c r="EEM5" s="146"/>
      <c r="EEN5" s="146"/>
      <c r="EEO5" s="146"/>
      <c r="EEP5" s="146"/>
      <c r="EEQ5" s="146"/>
      <c r="EER5" s="146"/>
      <c r="EES5" s="146"/>
      <c r="EET5" s="146"/>
      <c r="EEU5" s="146"/>
      <c r="EEV5" s="146"/>
      <c r="EEW5" s="146"/>
      <c r="EEX5" s="146"/>
      <c r="EEY5" s="146"/>
      <c r="EEZ5" s="146"/>
      <c r="EFA5" s="146"/>
      <c r="EFB5" s="146"/>
      <c r="EFC5" s="146"/>
      <c r="EFD5" s="146"/>
      <c r="EFE5" s="146"/>
      <c r="EFF5" s="146"/>
      <c r="EFG5" s="146"/>
      <c r="EFH5" s="146"/>
      <c r="EFI5" s="146"/>
      <c r="EFJ5" s="146"/>
      <c r="EFK5" s="146"/>
      <c r="EFL5" s="146"/>
      <c r="EFM5" s="146"/>
      <c r="EFN5" s="146"/>
      <c r="EFO5" s="146"/>
      <c r="EFP5" s="146"/>
      <c r="EFQ5" s="146"/>
      <c r="EFR5" s="146"/>
      <c r="EFS5" s="146"/>
      <c r="EFT5" s="146"/>
      <c r="EFU5" s="146"/>
      <c r="EFV5" s="146"/>
      <c r="EFW5" s="146"/>
      <c r="EFX5" s="146"/>
      <c r="EFY5" s="146"/>
      <c r="EFZ5" s="146"/>
      <c r="EGA5" s="146"/>
      <c r="EGB5" s="146"/>
      <c r="EGC5" s="146"/>
      <c r="EGD5" s="146"/>
      <c r="EGE5" s="146"/>
      <c r="EGF5" s="146"/>
      <c r="EGG5" s="146"/>
      <c r="EGH5" s="146"/>
      <c r="EGI5" s="146"/>
      <c r="EGJ5" s="146"/>
      <c r="EGK5" s="146"/>
      <c r="EGL5" s="146"/>
      <c r="EGM5" s="146"/>
      <c r="EGN5" s="146"/>
      <c r="EGO5" s="146"/>
      <c r="EGP5" s="146"/>
      <c r="EGQ5" s="146"/>
      <c r="EGR5" s="146"/>
      <c r="EGS5" s="146"/>
      <c r="EGT5" s="146"/>
      <c r="EGU5" s="146"/>
      <c r="EGV5" s="146"/>
      <c r="EGW5" s="146"/>
      <c r="EGX5" s="146"/>
      <c r="EGY5" s="146"/>
      <c r="EGZ5" s="146"/>
      <c r="EHA5" s="146"/>
      <c r="EHB5" s="146"/>
      <c r="EHC5" s="146"/>
      <c r="EHD5" s="146"/>
      <c r="EHE5" s="146"/>
      <c r="EHF5" s="146"/>
      <c r="EHG5" s="146"/>
      <c r="EHH5" s="146"/>
      <c r="EHI5" s="146"/>
      <c r="EHJ5" s="146"/>
      <c r="EHK5" s="146"/>
      <c r="EHL5" s="146"/>
      <c r="EHM5" s="146"/>
      <c r="EHN5" s="146"/>
      <c r="EHO5" s="146"/>
      <c r="EHP5" s="146"/>
      <c r="EHQ5" s="146"/>
      <c r="EHR5" s="146"/>
      <c r="EHS5" s="146"/>
      <c r="EHT5" s="146"/>
      <c r="EHU5" s="146"/>
      <c r="EHV5" s="146"/>
      <c r="EHW5" s="146"/>
      <c r="EHX5" s="146"/>
      <c r="EHY5" s="146"/>
      <c r="EHZ5" s="146"/>
      <c r="EIA5" s="146"/>
      <c r="EIB5" s="146"/>
      <c r="EIC5" s="146"/>
      <c r="EID5" s="146"/>
      <c r="EIE5" s="146"/>
      <c r="EIF5" s="146"/>
      <c r="EIG5" s="146"/>
      <c r="EIH5" s="146"/>
      <c r="EII5" s="146"/>
      <c r="EIJ5" s="146"/>
      <c r="EIK5" s="146"/>
      <c r="EIL5" s="146"/>
      <c r="EIM5" s="146"/>
      <c r="EIN5" s="146"/>
      <c r="EIO5" s="146"/>
      <c r="EIP5" s="146"/>
      <c r="EIQ5" s="146"/>
      <c r="EIR5" s="146"/>
      <c r="EIS5" s="146"/>
      <c r="EIT5" s="146"/>
      <c r="EIU5" s="146"/>
      <c r="EIV5" s="146"/>
      <c r="EIW5" s="146"/>
      <c r="EIX5" s="146"/>
      <c r="EIY5" s="146"/>
      <c r="EIZ5" s="146"/>
      <c r="EJA5" s="146"/>
      <c r="EJB5" s="146"/>
      <c r="EJC5" s="146"/>
      <c r="EJD5" s="146"/>
      <c r="EJE5" s="146"/>
      <c r="EJF5" s="146"/>
      <c r="EJG5" s="146"/>
      <c r="EJH5" s="146"/>
      <c r="EJI5" s="146"/>
      <c r="EJJ5" s="146"/>
      <c r="EJK5" s="146"/>
      <c r="EJL5" s="146"/>
      <c r="EJM5" s="146"/>
      <c r="EJN5" s="146"/>
      <c r="EJO5" s="146"/>
      <c r="EJP5" s="146"/>
      <c r="EJQ5" s="146"/>
      <c r="EJR5" s="146"/>
      <c r="EJS5" s="146"/>
      <c r="EJT5" s="146"/>
      <c r="EJU5" s="146"/>
      <c r="EJV5" s="146"/>
      <c r="EJW5" s="146"/>
      <c r="EJX5" s="146"/>
      <c r="EJY5" s="146"/>
      <c r="EJZ5" s="146"/>
      <c r="EKA5" s="146"/>
      <c r="EKB5" s="146"/>
      <c r="EKC5" s="146"/>
      <c r="EKD5" s="146"/>
      <c r="EKE5" s="146"/>
      <c r="EKF5" s="146"/>
      <c r="EKG5" s="146"/>
      <c r="EKH5" s="146"/>
      <c r="EKI5" s="146"/>
      <c r="EKJ5" s="146"/>
      <c r="EKK5" s="146"/>
      <c r="EKL5" s="146"/>
      <c r="EKM5" s="146"/>
      <c r="EKN5" s="146"/>
      <c r="EKO5" s="146"/>
      <c r="EKP5" s="146"/>
      <c r="EKQ5" s="146"/>
      <c r="EKR5" s="146"/>
      <c r="EKS5" s="146"/>
      <c r="EKT5" s="146"/>
      <c r="EKU5" s="146"/>
      <c r="EKV5" s="146"/>
      <c r="EKW5" s="146"/>
      <c r="EKX5" s="146"/>
      <c r="EKY5" s="146"/>
      <c r="EKZ5" s="146"/>
      <c r="ELA5" s="146"/>
      <c r="ELB5" s="146"/>
      <c r="ELC5" s="146"/>
      <c r="ELD5" s="146"/>
      <c r="ELE5" s="146"/>
      <c r="ELF5" s="146"/>
      <c r="ELG5" s="146"/>
      <c r="ELH5" s="146"/>
      <c r="ELI5" s="146"/>
      <c r="ELJ5" s="146"/>
      <c r="ELK5" s="146"/>
      <c r="ELL5" s="146"/>
      <c r="ELM5" s="146"/>
      <c r="ELN5" s="146"/>
      <c r="ELO5" s="146"/>
      <c r="ELP5" s="146"/>
      <c r="ELQ5" s="146"/>
      <c r="ELR5" s="146"/>
      <c r="ELS5" s="146"/>
      <c r="ELT5" s="146"/>
      <c r="ELU5" s="146"/>
      <c r="ELV5" s="146"/>
      <c r="ELW5" s="146"/>
      <c r="ELX5" s="146"/>
      <c r="ELY5" s="146"/>
      <c r="ELZ5" s="146"/>
      <c r="EMA5" s="146"/>
      <c r="EMB5" s="146"/>
      <c r="EMC5" s="146"/>
      <c r="EMD5" s="146"/>
      <c r="EME5" s="146"/>
      <c r="EMF5" s="146"/>
      <c r="EMG5" s="146"/>
      <c r="EMH5" s="146"/>
      <c r="EMI5" s="146"/>
      <c r="EMJ5" s="146"/>
      <c r="EMK5" s="146"/>
      <c r="EML5" s="146"/>
      <c r="EMM5" s="146"/>
      <c r="EMN5" s="146"/>
      <c r="EMO5" s="146"/>
      <c r="EMP5" s="146"/>
      <c r="EMQ5" s="146"/>
      <c r="EMR5" s="146"/>
      <c r="EMS5" s="146"/>
      <c r="EMT5" s="146"/>
      <c r="EMU5" s="146"/>
      <c r="EMV5" s="146"/>
      <c r="EMW5" s="146"/>
      <c r="EMX5" s="146"/>
      <c r="EMY5" s="146"/>
      <c r="EMZ5" s="146"/>
      <c r="ENA5" s="146"/>
      <c r="ENB5" s="146"/>
      <c r="ENC5" s="146"/>
      <c r="END5" s="146"/>
      <c r="ENE5" s="146"/>
      <c r="ENF5" s="146"/>
      <c r="ENG5" s="146"/>
      <c r="ENH5" s="146"/>
      <c r="ENI5" s="146"/>
      <c r="ENJ5" s="146"/>
      <c r="ENK5" s="146"/>
      <c r="ENL5" s="146"/>
      <c r="ENM5" s="146"/>
      <c r="ENN5" s="146"/>
      <c r="ENO5" s="146"/>
      <c r="ENP5" s="146"/>
      <c r="ENQ5" s="146"/>
      <c r="ENR5" s="146"/>
      <c r="ENS5" s="146"/>
      <c r="ENT5" s="146"/>
      <c r="ENU5" s="146"/>
      <c r="ENV5" s="146"/>
      <c r="ENW5" s="146"/>
      <c r="ENX5" s="146"/>
      <c r="ENY5" s="146"/>
      <c r="ENZ5" s="146"/>
      <c r="EOA5" s="146"/>
      <c r="EOB5" s="146"/>
      <c r="EOC5" s="146"/>
      <c r="EOD5" s="146"/>
      <c r="EOE5" s="146"/>
      <c r="EOF5" s="146"/>
      <c r="EOG5" s="146"/>
      <c r="EOH5" s="146"/>
      <c r="EOI5" s="146"/>
      <c r="EOJ5" s="146"/>
      <c r="EOK5" s="146"/>
      <c r="EOL5" s="146"/>
      <c r="EOM5" s="146"/>
      <c r="EON5" s="146"/>
      <c r="EOO5" s="146"/>
      <c r="EOP5" s="146"/>
      <c r="EOQ5" s="146"/>
      <c r="EOR5" s="146"/>
      <c r="EOS5" s="146"/>
      <c r="EOT5" s="146"/>
      <c r="EOU5" s="146"/>
      <c r="EOV5" s="146"/>
      <c r="EOW5" s="146"/>
      <c r="EOX5" s="146"/>
      <c r="EOY5" s="146"/>
      <c r="EOZ5" s="146"/>
      <c r="EPA5" s="146"/>
      <c r="EPB5" s="146"/>
      <c r="EPC5" s="146"/>
      <c r="EPD5" s="146"/>
      <c r="EPE5" s="146"/>
      <c r="EPF5" s="146"/>
      <c r="EPG5" s="146"/>
      <c r="EPH5" s="146"/>
      <c r="EPI5" s="146"/>
      <c r="EPJ5" s="146"/>
      <c r="EPK5" s="146"/>
      <c r="EPL5" s="146"/>
      <c r="EPM5" s="146"/>
      <c r="EPN5" s="146"/>
      <c r="EPO5" s="146"/>
      <c r="EPP5" s="146"/>
      <c r="EPQ5" s="146"/>
      <c r="EPR5" s="146"/>
      <c r="EPS5" s="146"/>
      <c r="EPT5" s="146"/>
      <c r="EPU5" s="146"/>
      <c r="EPV5" s="146"/>
      <c r="EPW5" s="146"/>
      <c r="EPX5" s="146"/>
      <c r="EPY5" s="146"/>
      <c r="EPZ5" s="146"/>
      <c r="EQA5" s="146"/>
      <c r="EQB5" s="146"/>
      <c r="EQC5" s="146"/>
      <c r="EQD5" s="146"/>
      <c r="EQE5" s="146"/>
      <c r="EQF5" s="146"/>
      <c r="EQG5" s="146"/>
      <c r="EQH5" s="146"/>
      <c r="EQI5" s="146"/>
      <c r="EQJ5" s="146"/>
      <c r="EQK5" s="146"/>
      <c r="EQL5" s="146"/>
      <c r="EQM5" s="146"/>
      <c r="EQN5" s="146"/>
      <c r="EQO5" s="146"/>
      <c r="EQP5" s="146"/>
      <c r="EQQ5" s="146"/>
      <c r="EQR5" s="146"/>
      <c r="EQS5" s="146"/>
      <c r="EQT5" s="146"/>
      <c r="EQU5" s="146"/>
      <c r="EQV5" s="146"/>
      <c r="EQW5" s="146"/>
      <c r="EQX5" s="146"/>
      <c r="EQY5" s="146"/>
      <c r="EQZ5" s="146"/>
      <c r="ERA5" s="146"/>
      <c r="ERB5" s="146"/>
      <c r="ERC5" s="146"/>
      <c r="ERD5" s="146"/>
      <c r="ERE5" s="146"/>
      <c r="ERF5" s="146"/>
      <c r="ERG5" s="146"/>
      <c r="ERH5" s="146"/>
      <c r="ERI5" s="146"/>
      <c r="ERJ5" s="146"/>
      <c r="ERK5" s="146"/>
      <c r="ERL5" s="146"/>
      <c r="ERM5" s="146"/>
      <c r="ERN5" s="146"/>
      <c r="ERO5" s="146"/>
      <c r="ERP5" s="146"/>
      <c r="ERQ5" s="146"/>
      <c r="ERR5" s="146"/>
      <c r="ERS5" s="146"/>
      <c r="ERT5" s="146"/>
      <c r="ERU5" s="146"/>
      <c r="ERV5" s="146"/>
      <c r="ERW5" s="146"/>
      <c r="ERX5" s="146"/>
      <c r="ERY5" s="146"/>
      <c r="ERZ5" s="146"/>
      <c r="ESA5" s="146"/>
      <c r="ESB5" s="146"/>
      <c r="ESC5" s="146"/>
      <c r="ESD5" s="146"/>
      <c r="ESE5" s="146"/>
      <c r="ESF5" s="146"/>
      <c r="ESG5" s="146"/>
      <c r="ESH5" s="146"/>
      <c r="ESI5" s="146"/>
      <c r="ESJ5" s="146"/>
      <c r="ESK5" s="146"/>
      <c r="ESL5" s="146"/>
      <c r="ESM5" s="146"/>
      <c r="ESN5" s="146"/>
      <c r="ESO5" s="146"/>
      <c r="ESP5" s="146"/>
      <c r="ESQ5" s="146"/>
      <c r="ESR5" s="146"/>
      <c r="ESS5" s="146"/>
      <c r="EST5" s="146"/>
      <c r="ESU5" s="146"/>
      <c r="ESV5" s="146"/>
      <c r="ESW5" s="146"/>
      <c r="ESX5" s="146"/>
      <c r="ESY5" s="146"/>
      <c r="ESZ5" s="146"/>
      <c r="ETA5" s="146"/>
      <c r="ETB5" s="146"/>
      <c r="ETC5" s="146"/>
      <c r="ETD5" s="146"/>
      <c r="ETE5" s="146"/>
      <c r="ETF5" s="146"/>
      <c r="ETG5" s="146"/>
      <c r="ETH5" s="146"/>
      <c r="ETI5" s="146"/>
      <c r="ETJ5" s="146"/>
      <c r="ETK5" s="146"/>
      <c r="ETL5" s="146"/>
      <c r="ETM5" s="146"/>
      <c r="ETN5" s="146"/>
      <c r="ETO5" s="146"/>
      <c r="ETP5" s="146"/>
      <c r="ETQ5" s="146"/>
      <c r="ETR5" s="146"/>
      <c r="ETS5" s="146"/>
      <c r="ETT5" s="146"/>
      <c r="ETU5" s="146"/>
      <c r="ETV5" s="146"/>
      <c r="ETW5" s="146"/>
      <c r="ETX5" s="146"/>
      <c r="ETY5" s="146"/>
      <c r="ETZ5" s="146"/>
      <c r="EUA5" s="146"/>
      <c r="EUB5" s="146"/>
      <c r="EUC5" s="146"/>
      <c r="EUD5" s="146"/>
      <c r="EUE5" s="146"/>
      <c r="EUF5" s="146"/>
      <c r="EUG5" s="146"/>
      <c r="EUH5" s="146"/>
      <c r="EUI5" s="146"/>
      <c r="EUJ5" s="146"/>
      <c r="EUK5" s="146"/>
      <c r="EUL5" s="146"/>
      <c r="EUM5" s="146"/>
      <c r="EUN5" s="146"/>
      <c r="EUO5" s="146"/>
      <c r="EUP5" s="146"/>
      <c r="EUQ5" s="146"/>
      <c r="EUR5" s="146"/>
      <c r="EUS5" s="146"/>
      <c r="EUT5" s="146"/>
      <c r="EUU5" s="146"/>
      <c r="EUV5" s="146"/>
      <c r="EUW5" s="146"/>
      <c r="EUX5" s="146"/>
      <c r="EUY5" s="146"/>
      <c r="EUZ5" s="146"/>
      <c r="EVA5" s="146"/>
      <c r="EVB5" s="146"/>
      <c r="EVC5" s="146"/>
      <c r="EVD5" s="146"/>
      <c r="EVE5" s="146"/>
      <c r="EVF5" s="146"/>
      <c r="EVG5" s="146"/>
      <c r="EVH5" s="146"/>
      <c r="EVI5" s="146"/>
      <c r="EVJ5" s="146"/>
      <c r="EVK5" s="146"/>
      <c r="EVL5" s="146"/>
      <c r="EVM5" s="146"/>
      <c r="EVN5" s="146"/>
      <c r="EVO5" s="146"/>
      <c r="EVP5" s="146"/>
      <c r="EVQ5" s="146"/>
      <c r="EVR5" s="146"/>
      <c r="EVS5" s="146"/>
      <c r="EVT5" s="146"/>
      <c r="EVU5" s="146"/>
      <c r="EVV5" s="146"/>
      <c r="EVW5" s="146"/>
      <c r="EVX5" s="146"/>
      <c r="EVY5" s="146"/>
      <c r="EVZ5" s="146"/>
      <c r="EWA5" s="146"/>
      <c r="EWB5" s="146"/>
      <c r="EWC5" s="146"/>
      <c r="EWD5" s="146"/>
      <c r="EWE5" s="146"/>
      <c r="EWF5" s="146"/>
      <c r="EWG5" s="146"/>
      <c r="EWH5" s="146"/>
      <c r="EWI5" s="146"/>
      <c r="EWJ5" s="146"/>
      <c r="EWK5" s="146"/>
      <c r="EWL5" s="146"/>
      <c r="EWM5" s="146"/>
      <c r="EWN5" s="146"/>
      <c r="EWO5" s="146"/>
      <c r="EWP5" s="146"/>
      <c r="EWQ5" s="146"/>
      <c r="EWR5" s="146"/>
      <c r="EWS5" s="146"/>
      <c r="EWT5" s="146"/>
      <c r="EWU5" s="146"/>
      <c r="EWV5" s="146"/>
      <c r="EWW5" s="146"/>
      <c r="EWX5" s="146"/>
      <c r="EWY5" s="146"/>
      <c r="EWZ5" s="146"/>
      <c r="EXA5" s="146"/>
      <c r="EXB5" s="146"/>
      <c r="EXC5" s="146"/>
      <c r="EXD5" s="146"/>
      <c r="EXE5" s="146"/>
      <c r="EXF5" s="146"/>
      <c r="EXG5" s="146"/>
      <c r="EXH5" s="146"/>
      <c r="EXI5" s="146"/>
      <c r="EXJ5" s="146"/>
      <c r="EXK5" s="146"/>
      <c r="EXL5" s="146"/>
      <c r="EXM5" s="146"/>
      <c r="EXN5" s="146"/>
      <c r="EXO5" s="146"/>
      <c r="EXP5" s="146"/>
      <c r="EXQ5" s="146"/>
      <c r="EXR5" s="146"/>
      <c r="EXS5" s="146"/>
      <c r="EXT5" s="146"/>
      <c r="EXU5" s="146"/>
      <c r="EXV5" s="146"/>
      <c r="EXW5" s="146"/>
      <c r="EXX5" s="146"/>
      <c r="EXY5" s="146"/>
      <c r="EXZ5" s="146"/>
      <c r="EYA5" s="146"/>
      <c r="EYB5" s="146"/>
      <c r="EYC5" s="146"/>
      <c r="EYD5" s="146"/>
      <c r="EYE5" s="146"/>
      <c r="EYF5" s="146"/>
      <c r="EYG5" s="146"/>
      <c r="EYH5" s="146"/>
      <c r="EYI5" s="146"/>
      <c r="EYJ5" s="146"/>
      <c r="EYK5" s="146"/>
      <c r="EYL5" s="146"/>
      <c r="EYM5" s="146"/>
      <c r="EYN5" s="146"/>
      <c r="EYO5" s="146"/>
      <c r="EYP5" s="146"/>
      <c r="EYQ5" s="146"/>
      <c r="EYR5" s="146"/>
      <c r="EYS5" s="146"/>
      <c r="EYT5" s="146"/>
      <c r="EYU5" s="146"/>
      <c r="EYV5" s="146"/>
      <c r="EYW5" s="146"/>
      <c r="EYX5" s="146"/>
      <c r="EYY5" s="146"/>
      <c r="EYZ5" s="146"/>
      <c r="EZA5" s="146"/>
      <c r="EZB5" s="146"/>
      <c r="EZC5" s="146"/>
      <c r="EZD5" s="146"/>
      <c r="EZE5" s="146"/>
      <c r="EZF5" s="146"/>
      <c r="EZG5" s="146"/>
      <c r="EZH5" s="146"/>
      <c r="EZI5" s="146"/>
      <c r="EZJ5" s="146"/>
      <c r="EZK5" s="146"/>
      <c r="EZL5" s="146"/>
      <c r="EZM5" s="146"/>
      <c r="EZN5" s="146"/>
      <c r="EZO5" s="146"/>
      <c r="EZP5" s="146"/>
      <c r="EZQ5" s="146"/>
      <c r="EZR5" s="146"/>
      <c r="EZS5" s="146"/>
      <c r="EZT5" s="146"/>
      <c r="EZU5" s="146"/>
      <c r="EZV5" s="146"/>
      <c r="EZW5" s="146"/>
      <c r="EZX5" s="146"/>
      <c r="EZY5" s="146"/>
      <c r="EZZ5" s="146"/>
      <c r="FAA5" s="146"/>
      <c r="FAB5" s="146"/>
      <c r="FAC5" s="146"/>
      <c r="FAD5" s="146"/>
      <c r="FAE5" s="146"/>
      <c r="FAF5" s="146"/>
      <c r="FAG5" s="146"/>
      <c r="FAH5" s="146"/>
      <c r="FAI5" s="146"/>
      <c r="FAJ5" s="146"/>
      <c r="FAK5" s="146"/>
      <c r="FAL5" s="146"/>
      <c r="FAM5" s="146"/>
      <c r="FAN5" s="146"/>
      <c r="FAO5" s="146"/>
      <c r="FAP5" s="146"/>
      <c r="FAQ5" s="146"/>
      <c r="FAR5" s="146"/>
      <c r="FAS5" s="146"/>
      <c r="FAT5" s="146"/>
      <c r="FAU5" s="146"/>
      <c r="FAV5" s="146"/>
      <c r="FAW5" s="146"/>
      <c r="FAX5" s="146"/>
      <c r="FAY5" s="146"/>
      <c r="FAZ5" s="146"/>
      <c r="FBA5" s="146"/>
      <c r="FBB5" s="146"/>
      <c r="FBC5" s="146"/>
      <c r="FBD5" s="146"/>
      <c r="FBE5" s="146"/>
      <c r="FBF5" s="146"/>
      <c r="FBG5" s="146"/>
      <c r="FBH5" s="146"/>
      <c r="FBI5" s="146"/>
      <c r="FBJ5" s="146"/>
      <c r="FBK5" s="146"/>
      <c r="FBL5" s="146"/>
      <c r="FBM5" s="146"/>
      <c r="FBN5" s="146"/>
      <c r="FBO5" s="146"/>
      <c r="FBP5" s="146"/>
      <c r="FBQ5" s="146"/>
      <c r="FBR5" s="146"/>
      <c r="FBS5" s="146"/>
      <c r="FBT5" s="146"/>
      <c r="FBU5" s="146"/>
      <c r="FBV5" s="146"/>
      <c r="FBW5" s="146"/>
      <c r="FBX5" s="146"/>
      <c r="FBY5" s="146"/>
      <c r="FBZ5" s="146"/>
      <c r="FCA5" s="146"/>
      <c r="FCB5" s="146"/>
      <c r="FCC5" s="146"/>
      <c r="FCD5" s="146"/>
      <c r="FCE5" s="146"/>
      <c r="FCF5" s="146"/>
      <c r="FCG5" s="146"/>
      <c r="FCH5" s="146"/>
      <c r="FCI5" s="146"/>
      <c r="FCJ5" s="146"/>
      <c r="FCK5" s="146"/>
      <c r="FCL5" s="146"/>
      <c r="FCM5" s="146"/>
      <c r="FCN5" s="146"/>
      <c r="FCO5" s="146"/>
      <c r="FCP5" s="146"/>
      <c r="FCQ5" s="146"/>
      <c r="FCR5" s="146"/>
      <c r="FCS5" s="146"/>
      <c r="FCT5" s="146"/>
      <c r="FCU5" s="146"/>
      <c r="FCV5" s="146"/>
      <c r="FCW5" s="146"/>
      <c r="FCX5" s="146"/>
      <c r="FCY5" s="146"/>
      <c r="FCZ5" s="146"/>
      <c r="FDA5" s="146"/>
      <c r="FDB5" s="146"/>
      <c r="FDC5" s="146"/>
      <c r="FDD5" s="146"/>
      <c r="FDE5" s="146"/>
      <c r="FDF5" s="146"/>
      <c r="FDG5" s="146"/>
      <c r="FDH5" s="146"/>
      <c r="FDI5" s="146"/>
      <c r="FDJ5" s="146"/>
      <c r="FDK5" s="146"/>
      <c r="FDL5" s="146"/>
      <c r="FDM5" s="146"/>
      <c r="FDN5" s="146"/>
      <c r="FDO5" s="146"/>
      <c r="FDP5" s="146"/>
      <c r="FDQ5" s="146"/>
      <c r="FDR5" s="146"/>
      <c r="FDS5" s="146"/>
      <c r="FDT5" s="146"/>
      <c r="FDU5" s="146"/>
      <c r="FDV5" s="146"/>
      <c r="FDW5" s="146"/>
      <c r="FDX5" s="146"/>
      <c r="FDY5" s="146"/>
      <c r="FDZ5" s="146"/>
      <c r="FEA5" s="146"/>
      <c r="FEB5" s="146"/>
      <c r="FEC5" s="146"/>
      <c r="FED5" s="146"/>
      <c r="FEE5" s="146"/>
      <c r="FEF5" s="146"/>
      <c r="FEG5" s="146"/>
      <c r="FEH5" s="146"/>
      <c r="FEI5" s="146"/>
      <c r="FEJ5" s="146"/>
      <c r="FEK5" s="146"/>
      <c r="FEL5" s="146"/>
      <c r="FEM5" s="146"/>
      <c r="FEN5" s="146"/>
      <c r="FEO5" s="146"/>
      <c r="FEP5" s="146"/>
      <c r="FEQ5" s="146"/>
      <c r="FER5" s="146"/>
      <c r="FES5" s="146"/>
      <c r="FET5" s="146"/>
      <c r="FEU5" s="146"/>
      <c r="FEV5" s="146"/>
      <c r="FEW5" s="146"/>
      <c r="FEX5" s="146"/>
      <c r="FEY5" s="146"/>
      <c r="FEZ5" s="146"/>
      <c r="FFA5" s="146"/>
      <c r="FFB5" s="146"/>
      <c r="FFC5" s="146"/>
      <c r="FFD5" s="146"/>
      <c r="FFE5" s="146"/>
      <c r="FFF5" s="146"/>
      <c r="FFG5" s="146"/>
      <c r="FFH5" s="146"/>
      <c r="FFI5" s="146"/>
      <c r="FFJ5" s="146"/>
      <c r="FFK5" s="146"/>
      <c r="FFL5" s="146"/>
      <c r="FFM5" s="146"/>
      <c r="FFN5" s="146"/>
      <c r="FFO5" s="146"/>
      <c r="FFP5" s="146"/>
      <c r="FFQ5" s="146"/>
      <c r="FFR5" s="146"/>
      <c r="FFS5" s="146"/>
      <c r="FFT5" s="146"/>
      <c r="FFU5" s="146"/>
      <c r="FFV5" s="146"/>
      <c r="FFW5" s="146"/>
      <c r="FFX5" s="146"/>
      <c r="FFY5" s="146"/>
      <c r="FFZ5" s="146"/>
      <c r="FGA5" s="146"/>
      <c r="FGB5" s="146"/>
      <c r="FGC5" s="146"/>
      <c r="FGD5" s="146"/>
      <c r="FGE5" s="146"/>
      <c r="FGF5" s="146"/>
      <c r="FGG5" s="146"/>
      <c r="FGH5" s="146"/>
      <c r="FGI5" s="146"/>
      <c r="FGJ5" s="146"/>
      <c r="FGK5" s="146"/>
      <c r="FGL5" s="146"/>
      <c r="FGM5" s="146"/>
      <c r="FGN5" s="146"/>
      <c r="FGO5" s="146"/>
      <c r="FGP5" s="146"/>
      <c r="FGQ5" s="146"/>
      <c r="FGR5" s="146"/>
      <c r="FGS5" s="146"/>
      <c r="FGT5" s="146"/>
      <c r="FGU5" s="146"/>
      <c r="FGV5" s="146"/>
      <c r="FGW5" s="146"/>
      <c r="FGX5" s="146"/>
      <c r="FGY5" s="146"/>
      <c r="FGZ5" s="146"/>
      <c r="FHA5" s="146"/>
      <c r="FHB5" s="146"/>
      <c r="FHC5" s="146"/>
      <c r="FHD5" s="146"/>
      <c r="FHE5" s="146"/>
      <c r="FHF5" s="146"/>
      <c r="FHG5" s="146"/>
      <c r="FHH5" s="146"/>
      <c r="FHI5" s="146"/>
      <c r="FHJ5" s="146"/>
      <c r="FHK5" s="146"/>
      <c r="FHL5" s="146"/>
      <c r="FHM5" s="146"/>
      <c r="FHN5" s="146"/>
      <c r="FHO5" s="146"/>
      <c r="FHP5" s="146"/>
      <c r="FHQ5" s="146"/>
      <c r="FHR5" s="146"/>
      <c r="FHS5" s="146"/>
      <c r="FHT5" s="146"/>
      <c r="FHU5" s="146"/>
      <c r="FHV5" s="146"/>
      <c r="FHW5" s="146"/>
      <c r="FHX5" s="146"/>
      <c r="FHY5" s="146"/>
      <c r="FHZ5" s="146"/>
      <c r="FIA5" s="146"/>
      <c r="FIB5" s="146"/>
      <c r="FIC5" s="146"/>
      <c r="FID5" s="146"/>
      <c r="FIE5" s="146"/>
      <c r="FIF5" s="146"/>
      <c r="FIG5" s="146"/>
      <c r="FIH5" s="146"/>
      <c r="FII5" s="146"/>
      <c r="FIJ5" s="146"/>
      <c r="FIK5" s="146"/>
      <c r="FIL5" s="146"/>
      <c r="FIM5" s="146"/>
      <c r="FIN5" s="146"/>
      <c r="FIO5" s="146"/>
      <c r="FIP5" s="146"/>
      <c r="FIQ5" s="146"/>
      <c r="FIR5" s="146"/>
      <c r="FIS5" s="146"/>
      <c r="FIT5" s="146"/>
      <c r="FIU5" s="146"/>
      <c r="FIV5" s="146"/>
      <c r="FIW5" s="146"/>
      <c r="FIX5" s="146"/>
      <c r="FIY5" s="146"/>
      <c r="FIZ5" s="146"/>
      <c r="FJA5" s="146"/>
      <c r="FJB5" s="146"/>
      <c r="FJC5" s="146"/>
      <c r="FJD5" s="146"/>
      <c r="FJE5" s="146"/>
      <c r="FJF5" s="146"/>
      <c r="FJG5" s="146"/>
      <c r="FJH5" s="146"/>
      <c r="FJI5" s="146"/>
      <c r="FJJ5" s="146"/>
      <c r="FJK5" s="146"/>
      <c r="FJL5" s="146"/>
      <c r="FJM5" s="146"/>
      <c r="FJN5" s="146"/>
      <c r="FJO5" s="146"/>
      <c r="FJP5" s="146"/>
      <c r="FJQ5" s="146"/>
      <c r="FJR5" s="146"/>
      <c r="FJS5" s="146"/>
      <c r="FJT5" s="146"/>
      <c r="FJU5" s="146"/>
      <c r="FJV5" s="146"/>
      <c r="FJW5" s="146"/>
      <c r="FJX5" s="146"/>
      <c r="FJY5" s="146"/>
      <c r="FJZ5" s="146"/>
      <c r="FKA5" s="146"/>
      <c r="FKB5" s="146"/>
      <c r="FKC5" s="146"/>
      <c r="FKD5" s="146"/>
      <c r="FKE5" s="146"/>
      <c r="FKF5" s="146"/>
      <c r="FKG5" s="146"/>
      <c r="FKH5" s="146"/>
      <c r="FKI5" s="146"/>
      <c r="FKJ5" s="146"/>
      <c r="FKK5" s="146"/>
      <c r="FKL5" s="146"/>
      <c r="FKM5" s="146"/>
      <c r="FKN5" s="146"/>
      <c r="FKO5" s="146"/>
      <c r="FKP5" s="146"/>
      <c r="FKQ5" s="146"/>
      <c r="FKR5" s="146"/>
      <c r="FKS5" s="146"/>
      <c r="FKT5" s="146"/>
      <c r="FKU5" s="146"/>
      <c r="FKV5" s="146"/>
      <c r="FKW5" s="146"/>
      <c r="FKX5" s="146"/>
      <c r="FKY5" s="146"/>
      <c r="FKZ5" s="146"/>
      <c r="FLA5" s="146"/>
      <c r="FLB5" s="146"/>
      <c r="FLC5" s="146"/>
      <c r="FLD5" s="146"/>
      <c r="FLE5" s="146"/>
      <c r="FLF5" s="146"/>
      <c r="FLG5" s="146"/>
      <c r="FLH5" s="146"/>
      <c r="FLI5" s="146"/>
      <c r="FLJ5" s="146"/>
      <c r="FLK5" s="146"/>
      <c r="FLL5" s="146"/>
      <c r="FLM5" s="146"/>
      <c r="FLN5" s="146"/>
      <c r="FLO5" s="146"/>
      <c r="FLP5" s="146"/>
      <c r="FLQ5" s="146"/>
      <c r="FLR5" s="146"/>
      <c r="FLS5" s="146"/>
      <c r="FLT5" s="146"/>
      <c r="FLU5" s="146"/>
      <c r="FLV5" s="146"/>
      <c r="FLW5" s="146"/>
      <c r="FLX5" s="146"/>
      <c r="FLY5" s="146"/>
      <c r="FLZ5" s="146"/>
      <c r="FMA5" s="146"/>
      <c r="FMB5" s="146"/>
      <c r="FMC5" s="146"/>
      <c r="FMD5" s="146"/>
      <c r="FME5" s="146"/>
      <c r="FMF5" s="146"/>
      <c r="FMG5" s="146"/>
      <c r="FMH5" s="146"/>
      <c r="FMI5" s="146"/>
      <c r="FMJ5" s="146"/>
      <c r="FMK5" s="146"/>
      <c r="FML5" s="146"/>
      <c r="FMM5" s="146"/>
      <c r="FMN5" s="146"/>
      <c r="FMO5" s="146"/>
      <c r="FMP5" s="146"/>
      <c r="FMQ5" s="146"/>
      <c r="FMR5" s="146"/>
      <c r="FMS5" s="146"/>
      <c r="FMT5" s="146"/>
      <c r="FMU5" s="146"/>
      <c r="FMV5" s="146"/>
      <c r="FMW5" s="146"/>
      <c r="FMX5" s="146"/>
      <c r="FMY5" s="146"/>
      <c r="FMZ5" s="146"/>
      <c r="FNA5" s="146"/>
      <c r="FNB5" s="146"/>
      <c r="FNC5" s="146"/>
      <c r="FND5" s="146"/>
      <c r="FNE5" s="146"/>
      <c r="FNF5" s="146"/>
      <c r="FNG5" s="146"/>
      <c r="FNH5" s="146"/>
      <c r="FNI5" s="146"/>
      <c r="FNJ5" s="146"/>
      <c r="FNK5" s="146"/>
      <c r="FNL5" s="146"/>
      <c r="FNM5" s="146"/>
      <c r="FNN5" s="146"/>
      <c r="FNO5" s="146"/>
      <c r="FNP5" s="146"/>
      <c r="FNQ5" s="146"/>
      <c r="FNR5" s="146"/>
      <c r="FNS5" s="146"/>
      <c r="FNT5" s="146"/>
      <c r="FNU5" s="146"/>
      <c r="FNV5" s="146"/>
      <c r="FNW5" s="146"/>
      <c r="FNX5" s="146"/>
      <c r="FNY5" s="146"/>
      <c r="FNZ5" s="146"/>
      <c r="FOA5" s="146"/>
      <c r="FOB5" s="146"/>
      <c r="FOC5" s="146"/>
      <c r="FOD5" s="146"/>
      <c r="FOE5" s="146"/>
      <c r="FOF5" s="146"/>
      <c r="FOG5" s="146"/>
      <c r="FOH5" s="146"/>
      <c r="FOI5" s="146"/>
      <c r="FOJ5" s="146"/>
      <c r="FOK5" s="146"/>
      <c r="FOL5" s="146"/>
      <c r="FOM5" s="146"/>
      <c r="FON5" s="146"/>
      <c r="FOO5" s="146"/>
      <c r="FOP5" s="146"/>
      <c r="FOQ5" s="146"/>
      <c r="FOR5" s="146"/>
      <c r="FOS5" s="146"/>
      <c r="FOT5" s="146"/>
      <c r="FOU5" s="146"/>
      <c r="FOV5" s="146"/>
      <c r="FOW5" s="146"/>
      <c r="FOX5" s="146"/>
      <c r="FOY5" s="146"/>
      <c r="FOZ5" s="146"/>
      <c r="FPA5" s="146"/>
      <c r="FPB5" s="146"/>
      <c r="FPC5" s="146"/>
      <c r="FPD5" s="146"/>
      <c r="FPE5" s="146"/>
      <c r="FPF5" s="146"/>
      <c r="FPG5" s="146"/>
      <c r="FPH5" s="146"/>
      <c r="FPI5" s="146"/>
      <c r="FPJ5" s="146"/>
      <c r="FPK5" s="146"/>
      <c r="FPL5" s="146"/>
      <c r="FPM5" s="146"/>
      <c r="FPN5" s="146"/>
      <c r="FPO5" s="146"/>
      <c r="FPP5" s="146"/>
      <c r="FPQ5" s="146"/>
      <c r="FPR5" s="146"/>
      <c r="FPS5" s="146"/>
      <c r="FPT5" s="146"/>
      <c r="FPU5" s="146"/>
      <c r="FPV5" s="146"/>
      <c r="FPW5" s="146"/>
      <c r="FPX5" s="146"/>
      <c r="FPY5" s="146"/>
      <c r="FPZ5" s="146"/>
      <c r="FQA5" s="146"/>
      <c r="FQB5" s="146"/>
      <c r="FQC5" s="146"/>
      <c r="FQD5" s="146"/>
      <c r="FQE5" s="146"/>
      <c r="FQF5" s="146"/>
      <c r="FQG5" s="146"/>
      <c r="FQH5" s="146"/>
      <c r="FQI5" s="146"/>
      <c r="FQJ5" s="146"/>
      <c r="FQK5" s="146"/>
      <c r="FQL5" s="146"/>
      <c r="FQM5" s="146"/>
      <c r="FQN5" s="146"/>
      <c r="FQO5" s="146"/>
      <c r="FQP5" s="146"/>
      <c r="FQQ5" s="146"/>
      <c r="FQR5" s="146"/>
      <c r="FQS5" s="146"/>
      <c r="FQT5" s="146"/>
      <c r="FQU5" s="146"/>
      <c r="FQV5" s="146"/>
      <c r="FQW5" s="146"/>
      <c r="FQX5" s="146"/>
      <c r="FQY5" s="146"/>
      <c r="FQZ5" s="146"/>
      <c r="FRA5" s="146"/>
      <c r="FRB5" s="146"/>
      <c r="FRC5" s="146"/>
      <c r="FRD5" s="146"/>
      <c r="FRE5" s="146"/>
      <c r="FRF5" s="146"/>
      <c r="FRG5" s="146"/>
      <c r="FRH5" s="146"/>
      <c r="FRI5" s="146"/>
      <c r="FRJ5" s="146"/>
      <c r="FRK5" s="146"/>
      <c r="FRL5" s="146"/>
      <c r="FRM5" s="146"/>
      <c r="FRN5" s="146"/>
      <c r="FRO5" s="146"/>
      <c r="FRP5" s="146"/>
      <c r="FRQ5" s="146"/>
      <c r="FRR5" s="146"/>
      <c r="FRS5" s="146"/>
      <c r="FRT5" s="146"/>
      <c r="FRU5" s="146"/>
      <c r="FRV5" s="146"/>
      <c r="FRW5" s="146"/>
      <c r="FRX5" s="146"/>
      <c r="FRY5" s="146"/>
      <c r="FRZ5" s="146"/>
      <c r="FSA5" s="146"/>
      <c r="FSB5" s="146"/>
      <c r="FSC5" s="146"/>
      <c r="FSD5" s="146"/>
      <c r="FSE5" s="146"/>
      <c r="FSF5" s="146"/>
      <c r="FSG5" s="146"/>
      <c r="FSH5" s="146"/>
      <c r="FSI5" s="146"/>
      <c r="FSJ5" s="146"/>
      <c r="FSK5" s="146"/>
      <c r="FSL5" s="146"/>
      <c r="FSM5" s="146"/>
      <c r="FSN5" s="146"/>
      <c r="FSO5" s="146"/>
      <c r="FSP5" s="146"/>
      <c r="FSQ5" s="146"/>
      <c r="FSR5" s="146"/>
      <c r="FSS5" s="146"/>
      <c r="FST5" s="146"/>
      <c r="FSU5" s="146"/>
      <c r="FSV5" s="146"/>
      <c r="FSW5" s="146"/>
      <c r="FSX5" s="146"/>
      <c r="FSY5" s="146"/>
      <c r="FSZ5" s="146"/>
      <c r="FTA5" s="146"/>
      <c r="FTB5" s="146"/>
      <c r="FTC5" s="146"/>
      <c r="FTD5" s="146"/>
      <c r="FTE5" s="146"/>
      <c r="FTF5" s="146"/>
      <c r="FTG5" s="146"/>
      <c r="FTH5" s="146"/>
      <c r="FTI5" s="146"/>
      <c r="FTJ5" s="146"/>
      <c r="FTK5" s="146"/>
      <c r="FTL5" s="146"/>
      <c r="FTM5" s="146"/>
      <c r="FTN5" s="146"/>
      <c r="FTO5" s="146"/>
      <c r="FTP5" s="146"/>
      <c r="FTQ5" s="146"/>
      <c r="FTR5" s="146"/>
      <c r="FTS5" s="146"/>
      <c r="FTT5" s="146"/>
      <c r="FTU5" s="146"/>
      <c r="FTV5" s="146"/>
      <c r="FTW5" s="146"/>
      <c r="FTX5" s="146"/>
      <c r="FTY5" s="146"/>
      <c r="FTZ5" s="146"/>
      <c r="FUA5" s="146"/>
      <c r="FUB5" s="146"/>
      <c r="FUC5" s="146"/>
      <c r="FUD5" s="146"/>
      <c r="FUE5" s="146"/>
      <c r="FUF5" s="146"/>
      <c r="FUG5" s="146"/>
      <c r="FUH5" s="146"/>
      <c r="FUI5" s="146"/>
      <c r="FUJ5" s="146"/>
      <c r="FUK5" s="146"/>
      <c r="FUL5" s="146"/>
      <c r="FUM5" s="146"/>
      <c r="FUN5" s="146"/>
      <c r="FUO5" s="146"/>
      <c r="FUP5" s="146"/>
      <c r="FUQ5" s="146"/>
      <c r="FUR5" s="146"/>
      <c r="FUS5" s="146"/>
      <c r="FUT5" s="146"/>
      <c r="FUU5" s="146"/>
      <c r="FUV5" s="146"/>
      <c r="FUW5" s="146"/>
      <c r="FUX5" s="146"/>
      <c r="FUY5" s="146"/>
      <c r="FUZ5" s="146"/>
      <c r="FVA5" s="146"/>
      <c r="FVB5" s="146"/>
      <c r="FVC5" s="146"/>
      <c r="FVD5" s="146"/>
      <c r="FVE5" s="146"/>
      <c r="FVF5" s="146"/>
      <c r="FVG5" s="146"/>
      <c r="FVH5" s="146"/>
      <c r="FVI5" s="146"/>
      <c r="FVJ5" s="146"/>
      <c r="FVK5" s="146"/>
      <c r="FVL5" s="146"/>
      <c r="FVM5" s="146"/>
      <c r="FVN5" s="146"/>
      <c r="FVO5" s="146"/>
      <c r="FVP5" s="146"/>
      <c r="FVQ5" s="146"/>
      <c r="FVR5" s="146"/>
      <c r="FVS5" s="146"/>
      <c r="FVT5" s="146"/>
      <c r="FVU5" s="146"/>
      <c r="FVV5" s="146"/>
      <c r="FVW5" s="146"/>
      <c r="FVX5" s="146"/>
      <c r="FVY5" s="146"/>
      <c r="FVZ5" s="146"/>
      <c r="FWA5" s="146"/>
      <c r="FWB5" s="146"/>
      <c r="FWC5" s="146"/>
      <c r="FWD5" s="146"/>
      <c r="FWE5" s="146"/>
      <c r="FWF5" s="146"/>
      <c r="FWG5" s="146"/>
      <c r="FWH5" s="146"/>
      <c r="FWI5" s="146"/>
      <c r="FWJ5" s="146"/>
      <c r="FWK5" s="146"/>
      <c r="FWL5" s="146"/>
      <c r="FWM5" s="146"/>
      <c r="FWN5" s="146"/>
      <c r="FWO5" s="146"/>
      <c r="FWP5" s="146"/>
      <c r="FWQ5" s="146"/>
      <c r="FWR5" s="146"/>
      <c r="FWS5" s="146"/>
      <c r="FWT5" s="146"/>
      <c r="FWU5" s="146"/>
      <c r="FWV5" s="146"/>
      <c r="FWW5" s="146"/>
      <c r="FWX5" s="146"/>
      <c r="FWY5" s="146"/>
      <c r="FWZ5" s="146"/>
      <c r="FXA5" s="146"/>
      <c r="FXB5" s="146"/>
      <c r="FXC5" s="146"/>
      <c r="FXD5" s="146"/>
      <c r="FXE5" s="146"/>
      <c r="FXF5" s="146"/>
      <c r="FXG5" s="146"/>
      <c r="FXH5" s="146"/>
      <c r="FXI5" s="146"/>
      <c r="FXJ5" s="146"/>
      <c r="FXK5" s="146"/>
      <c r="FXL5" s="146"/>
      <c r="FXM5" s="146"/>
      <c r="FXN5" s="146"/>
      <c r="FXO5" s="146"/>
      <c r="FXP5" s="146"/>
      <c r="FXQ5" s="146"/>
      <c r="FXR5" s="146"/>
      <c r="FXS5" s="146"/>
      <c r="FXT5" s="146"/>
      <c r="FXU5" s="146"/>
      <c r="FXV5" s="146"/>
      <c r="FXW5" s="146"/>
      <c r="FXX5" s="146"/>
      <c r="FXY5" s="146"/>
      <c r="FXZ5" s="146"/>
      <c r="FYA5" s="146"/>
      <c r="FYB5" s="146"/>
      <c r="FYC5" s="146"/>
      <c r="FYD5" s="146"/>
      <c r="FYE5" s="146"/>
      <c r="FYF5" s="146"/>
      <c r="FYG5" s="146"/>
      <c r="FYH5" s="146"/>
      <c r="FYI5" s="146"/>
      <c r="FYJ5" s="146"/>
      <c r="FYK5" s="146"/>
      <c r="FYL5" s="146"/>
      <c r="FYM5" s="146"/>
      <c r="FYN5" s="146"/>
      <c r="FYO5" s="146"/>
      <c r="FYP5" s="146"/>
      <c r="FYQ5" s="146"/>
      <c r="FYR5" s="146"/>
      <c r="FYS5" s="146"/>
      <c r="FYT5" s="146"/>
      <c r="FYU5" s="146"/>
      <c r="FYV5" s="146"/>
      <c r="FYW5" s="146"/>
      <c r="FYX5" s="146"/>
      <c r="FYY5" s="146"/>
      <c r="FYZ5" s="146"/>
      <c r="FZA5" s="146"/>
      <c r="FZB5" s="146"/>
      <c r="FZC5" s="146"/>
      <c r="FZD5" s="146"/>
      <c r="FZE5" s="146"/>
      <c r="FZF5" s="146"/>
      <c r="FZG5" s="146"/>
      <c r="FZH5" s="146"/>
      <c r="FZI5" s="146"/>
      <c r="FZJ5" s="146"/>
      <c r="FZK5" s="146"/>
      <c r="FZL5" s="146"/>
      <c r="FZM5" s="146"/>
      <c r="FZN5" s="146"/>
      <c r="FZO5" s="146"/>
      <c r="FZP5" s="146"/>
      <c r="FZQ5" s="146"/>
      <c r="FZR5" s="146"/>
      <c r="FZS5" s="146"/>
      <c r="FZT5" s="146"/>
      <c r="FZU5" s="146"/>
      <c r="FZV5" s="146"/>
      <c r="FZW5" s="146"/>
      <c r="FZX5" s="146"/>
      <c r="FZY5" s="146"/>
      <c r="FZZ5" s="146"/>
      <c r="GAA5" s="146"/>
      <c r="GAB5" s="146"/>
      <c r="GAC5" s="146"/>
      <c r="GAD5" s="146"/>
      <c r="GAE5" s="146"/>
      <c r="GAF5" s="146"/>
      <c r="GAG5" s="146"/>
      <c r="GAH5" s="146"/>
      <c r="GAI5" s="146"/>
      <c r="GAJ5" s="146"/>
      <c r="GAK5" s="146"/>
      <c r="GAL5" s="146"/>
      <c r="GAM5" s="146"/>
      <c r="GAN5" s="146"/>
      <c r="GAO5" s="146"/>
      <c r="GAP5" s="146"/>
      <c r="GAQ5" s="146"/>
      <c r="GAR5" s="146"/>
      <c r="GAS5" s="146"/>
      <c r="GAT5" s="146"/>
      <c r="GAU5" s="146"/>
      <c r="GAV5" s="146"/>
      <c r="GAW5" s="146"/>
      <c r="GAX5" s="146"/>
      <c r="GAY5" s="146"/>
      <c r="GAZ5" s="146"/>
      <c r="GBA5" s="146"/>
      <c r="GBB5" s="146"/>
      <c r="GBC5" s="146"/>
      <c r="GBD5" s="146"/>
      <c r="GBE5" s="146"/>
      <c r="GBF5" s="146"/>
      <c r="GBG5" s="146"/>
      <c r="GBH5" s="146"/>
      <c r="GBI5" s="146"/>
      <c r="GBJ5" s="146"/>
      <c r="GBK5" s="146"/>
      <c r="GBL5" s="146"/>
      <c r="GBM5" s="146"/>
      <c r="GBN5" s="146"/>
      <c r="GBO5" s="146"/>
      <c r="GBP5" s="146"/>
      <c r="GBQ5" s="146"/>
      <c r="GBR5" s="146"/>
      <c r="GBS5" s="146"/>
      <c r="GBT5" s="146"/>
      <c r="GBU5" s="146"/>
      <c r="GBV5" s="146"/>
      <c r="GBW5" s="146"/>
      <c r="GBX5" s="146"/>
      <c r="GBY5" s="146"/>
      <c r="GBZ5" s="146"/>
      <c r="GCA5" s="146"/>
      <c r="GCB5" s="146"/>
      <c r="GCC5" s="146"/>
      <c r="GCD5" s="146"/>
      <c r="GCE5" s="146"/>
      <c r="GCF5" s="146"/>
      <c r="GCG5" s="146"/>
      <c r="GCH5" s="146"/>
      <c r="GCI5" s="146"/>
      <c r="GCJ5" s="146"/>
      <c r="GCK5" s="146"/>
      <c r="GCL5" s="146"/>
      <c r="GCM5" s="146"/>
      <c r="GCN5" s="146"/>
      <c r="GCO5" s="146"/>
      <c r="GCP5" s="146"/>
      <c r="GCQ5" s="146"/>
      <c r="GCR5" s="146"/>
      <c r="GCS5" s="146"/>
      <c r="GCT5" s="146"/>
      <c r="GCU5" s="146"/>
      <c r="GCV5" s="146"/>
      <c r="GCW5" s="146"/>
      <c r="GCX5" s="146"/>
      <c r="GCY5" s="146"/>
      <c r="GCZ5" s="146"/>
      <c r="GDA5" s="146"/>
      <c r="GDB5" s="146"/>
      <c r="GDC5" s="146"/>
      <c r="GDD5" s="146"/>
      <c r="GDE5" s="146"/>
      <c r="GDF5" s="146"/>
      <c r="GDG5" s="146"/>
      <c r="GDH5" s="146"/>
      <c r="GDI5" s="146"/>
      <c r="GDJ5" s="146"/>
      <c r="GDK5" s="146"/>
      <c r="GDL5" s="146"/>
      <c r="GDM5" s="146"/>
      <c r="GDN5" s="146"/>
      <c r="GDO5" s="146"/>
      <c r="GDP5" s="146"/>
      <c r="GDQ5" s="146"/>
      <c r="GDR5" s="146"/>
      <c r="GDS5" s="146"/>
      <c r="GDT5" s="146"/>
      <c r="GDU5" s="146"/>
      <c r="GDV5" s="146"/>
      <c r="GDW5" s="146"/>
      <c r="GDX5" s="146"/>
      <c r="GDY5" s="146"/>
      <c r="GDZ5" s="146"/>
      <c r="GEA5" s="146"/>
      <c r="GEB5" s="146"/>
      <c r="GEC5" s="146"/>
      <c r="GED5" s="146"/>
      <c r="GEE5" s="146"/>
      <c r="GEF5" s="146"/>
      <c r="GEG5" s="146"/>
      <c r="GEH5" s="146"/>
      <c r="GEI5" s="146"/>
      <c r="GEJ5" s="146"/>
      <c r="GEK5" s="146"/>
      <c r="GEL5" s="146"/>
      <c r="GEM5" s="146"/>
      <c r="GEN5" s="146"/>
      <c r="GEO5" s="146"/>
      <c r="GEP5" s="146"/>
      <c r="GEQ5" s="146"/>
      <c r="GER5" s="146"/>
      <c r="GES5" s="146"/>
      <c r="GET5" s="146"/>
      <c r="GEU5" s="146"/>
      <c r="GEV5" s="146"/>
      <c r="GEW5" s="146"/>
      <c r="GEX5" s="146"/>
      <c r="GEY5" s="146"/>
      <c r="GEZ5" s="146"/>
      <c r="GFA5" s="146"/>
      <c r="GFB5" s="146"/>
      <c r="GFC5" s="146"/>
      <c r="GFD5" s="146"/>
      <c r="GFE5" s="146"/>
      <c r="GFF5" s="146"/>
      <c r="GFG5" s="146"/>
      <c r="GFH5" s="146"/>
      <c r="GFI5" s="146"/>
      <c r="GFJ5" s="146"/>
      <c r="GFK5" s="146"/>
      <c r="GFL5" s="146"/>
      <c r="GFM5" s="146"/>
      <c r="GFN5" s="146"/>
      <c r="GFO5" s="146"/>
      <c r="GFP5" s="146"/>
      <c r="GFQ5" s="146"/>
      <c r="GFR5" s="146"/>
      <c r="GFS5" s="146"/>
      <c r="GFT5" s="146"/>
      <c r="GFU5" s="146"/>
      <c r="GFV5" s="146"/>
      <c r="GFW5" s="146"/>
      <c r="GFX5" s="146"/>
      <c r="GFY5" s="146"/>
      <c r="GFZ5" s="146"/>
      <c r="GGA5" s="146"/>
      <c r="GGB5" s="146"/>
      <c r="GGC5" s="146"/>
      <c r="GGD5" s="146"/>
      <c r="GGE5" s="146"/>
      <c r="GGF5" s="146"/>
      <c r="GGG5" s="146"/>
      <c r="GGH5" s="146"/>
      <c r="GGI5" s="146"/>
      <c r="GGJ5" s="146"/>
      <c r="GGK5" s="146"/>
      <c r="GGL5" s="146"/>
      <c r="GGM5" s="146"/>
      <c r="GGN5" s="146"/>
      <c r="GGO5" s="146"/>
      <c r="GGP5" s="146"/>
      <c r="GGQ5" s="146"/>
      <c r="GGR5" s="146"/>
      <c r="GGS5" s="146"/>
      <c r="GGT5" s="146"/>
      <c r="GGU5" s="146"/>
      <c r="GGV5" s="146"/>
      <c r="GGW5" s="146"/>
      <c r="GGX5" s="146"/>
      <c r="GGY5" s="146"/>
      <c r="GGZ5" s="146"/>
      <c r="GHA5" s="146"/>
      <c r="GHB5" s="146"/>
      <c r="GHC5" s="146"/>
      <c r="GHD5" s="146"/>
      <c r="GHE5" s="146"/>
      <c r="GHF5" s="146"/>
      <c r="GHG5" s="146"/>
      <c r="GHH5" s="146"/>
      <c r="GHI5" s="146"/>
      <c r="GHJ5" s="146"/>
      <c r="GHK5" s="146"/>
      <c r="GHL5" s="146"/>
      <c r="GHM5" s="146"/>
      <c r="GHN5" s="146"/>
      <c r="GHO5" s="146"/>
      <c r="GHP5" s="146"/>
      <c r="GHQ5" s="146"/>
      <c r="GHR5" s="146"/>
      <c r="GHS5" s="146"/>
      <c r="GHT5" s="146"/>
      <c r="GHU5" s="146"/>
      <c r="GHV5" s="146"/>
      <c r="GHW5" s="146"/>
      <c r="GHX5" s="146"/>
      <c r="GHY5" s="146"/>
      <c r="GHZ5" s="146"/>
      <c r="GIA5" s="146"/>
      <c r="GIB5" s="146"/>
      <c r="GIC5" s="146"/>
      <c r="GID5" s="146"/>
      <c r="GIE5" s="146"/>
      <c r="GIF5" s="146"/>
      <c r="GIG5" s="146"/>
      <c r="GIH5" s="146"/>
      <c r="GII5" s="146"/>
      <c r="GIJ5" s="146"/>
      <c r="GIK5" s="146"/>
      <c r="GIL5" s="146"/>
      <c r="GIM5" s="146"/>
      <c r="GIN5" s="146"/>
      <c r="GIO5" s="146"/>
      <c r="GIP5" s="146"/>
      <c r="GIQ5" s="146"/>
      <c r="GIR5" s="146"/>
      <c r="GIS5" s="146"/>
      <c r="GIT5" s="146"/>
      <c r="GIU5" s="146"/>
      <c r="GIV5" s="146"/>
      <c r="GIW5" s="146"/>
      <c r="GIX5" s="146"/>
      <c r="GIY5" s="146"/>
      <c r="GIZ5" s="146"/>
      <c r="GJA5" s="146"/>
      <c r="GJB5" s="146"/>
      <c r="GJC5" s="146"/>
      <c r="GJD5" s="146"/>
      <c r="GJE5" s="146"/>
      <c r="GJF5" s="146"/>
      <c r="GJG5" s="146"/>
      <c r="GJH5" s="146"/>
      <c r="GJI5" s="146"/>
      <c r="GJJ5" s="146"/>
      <c r="GJK5" s="146"/>
      <c r="GJL5" s="146"/>
      <c r="GJM5" s="146"/>
      <c r="GJN5" s="146"/>
      <c r="GJO5" s="146"/>
      <c r="GJP5" s="146"/>
      <c r="GJQ5" s="146"/>
      <c r="GJR5" s="146"/>
      <c r="GJS5" s="146"/>
      <c r="GJT5" s="146"/>
      <c r="GJU5" s="146"/>
      <c r="GJV5" s="146"/>
      <c r="GJW5" s="146"/>
      <c r="GJX5" s="146"/>
      <c r="GJY5" s="146"/>
      <c r="GJZ5" s="146"/>
      <c r="GKA5" s="146"/>
      <c r="GKB5" s="146"/>
      <c r="GKC5" s="146"/>
      <c r="GKD5" s="146"/>
      <c r="GKE5" s="146"/>
      <c r="GKF5" s="146"/>
      <c r="GKG5" s="146"/>
      <c r="GKH5" s="146"/>
      <c r="GKI5" s="146"/>
      <c r="GKJ5" s="146"/>
      <c r="GKK5" s="146"/>
      <c r="GKL5" s="146"/>
      <c r="GKM5" s="146"/>
      <c r="GKN5" s="146"/>
      <c r="GKO5" s="146"/>
      <c r="GKP5" s="146"/>
      <c r="GKQ5" s="146"/>
      <c r="GKR5" s="146"/>
      <c r="GKS5" s="146"/>
      <c r="GKT5" s="146"/>
      <c r="GKU5" s="146"/>
      <c r="GKV5" s="146"/>
      <c r="GKW5" s="146"/>
      <c r="GKX5" s="146"/>
      <c r="GKY5" s="146"/>
      <c r="GKZ5" s="146"/>
      <c r="GLA5" s="146"/>
      <c r="GLB5" s="146"/>
      <c r="GLC5" s="146"/>
      <c r="GLD5" s="146"/>
      <c r="GLE5" s="146"/>
      <c r="GLF5" s="146"/>
      <c r="GLG5" s="146"/>
      <c r="GLH5" s="146"/>
      <c r="GLI5" s="146"/>
      <c r="GLJ5" s="146"/>
      <c r="GLK5" s="146"/>
      <c r="GLL5" s="146"/>
      <c r="GLM5" s="146"/>
      <c r="GLN5" s="146"/>
      <c r="GLO5" s="146"/>
      <c r="GLP5" s="146"/>
      <c r="GLQ5" s="146"/>
      <c r="GLR5" s="146"/>
      <c r="GLS5" s="146"/>
      <c r="GLT5" s="146"/>
      <c r="GLU5" s="146"/>
      <c r="GLV5" s="146"/>
      <c r="GLW5" s="146"/>
      <c r="GLX5" s="146"/>
      <c r="GLY5" s="146"/>
      <c r="GLZ5" s="146"/>
      <c r="GMA5" s="146"/>
      <c r="GMB5" s="146"/>
      <c r="GMC5" s="146"/>
      <c r="GMD5" s="146"/>
      <c r="GME5" s="146"/>
      <c r="GMF5" s="146"/>
      <c r="GMG5" s="146"/>
      <c r="GMH5" s="146"/>
      <c r="GMI5" s="146"/>
      <c r="GMJ5" s="146"/>
      <c r="GMK5" s="146"/>
      <c r="GML5" s="146"/>
      <c r="GMM5" s="146"/>
      <c r="GMN5" s="146"/>
      <c r="GMO5" s="146"/>
      <c r="GMP5" s="146"/>
      <c r="GMQ5" s="146"/>
      <c r="GMR5" s="146"/>
      <c r="GMS5" s="146"/>
      <c r="GMT5" s="146"/>
      <c r="GMU5" s="146"/>
      <c r="GMV5" s="146"/>
      <c r="GMW5" s="146"/>
      <c r="GMX5" s="146"/>
      <c r="GMY5" s="146"/>
      <c r="GMZ5" s="146"/>
      <c r="GNA5" s="146"/>
      <c r="GNB5" s="146"/>
      <c r="GNC5" s="146"/>
      <c r="GND5" s="146"/>
      <c r="GNE5" s="146"/>
      <c r="GNF5" s="146"/>
      <c r="GNG5" s="146"/>
      <c r="GNH5" s="146"/>
      <c r="GNI5" s="146"/>
      <c r="GNJ5" s="146"/>
      <c r="GNK5" s="146"/>
      <c r="GNL5" s="146"/>
      <c r="GNM5" s="146"/>
      <c r="GNN5" s="146"/>
      <c r="GNO5" s="146"/>
      <c r="GNP5" s="146"/>
      <c r="GNQ5" s="146"/>
      <c r="GNR5" s="146"/>
      <c r="GNS5" s="146"/>
      <c r="GNT5" s="146"/>
      <c r="GNU5" s="146"/>
      <c r="GNV5" s="146"/>
      <c r="GNW5" s="146"/>
      <c r="GNX5" s="146"/>
      <c r="GNY5" s="146"/>
      <c r="GNZ5" s="146"/>
      <c r="GOA5" s="146"/>
      <c r="GOB5" s="146"/>
      <c r="GOC5" s="146"/>
      <c r="GOD5" s="146"/>
      <c r="GOE5" s="146"/>
      <c r="GOF5" s="146"/>
      <c r="GOG5" s="146"/>
      <c r="GOH5" s="146"/>
      <c r="GOI5" s="146"/>
      <c r="GOJ5" s="146"/>
      <c r="GOK5" s="146"/>
      <c r="GOL5" s="146"/>
      <c r="GOM5" s="146"/>
      <c r="GON5" s="146"/>
      <c r="GOO5" s="146"/>
      <c r="GOP5" s="146"/>
      <c r="GOQ5" s="146"/>
      <c r="GOR5" s="146"/>
      <c r="GOS5" s="146"/>
      <c r="GOT5" s="146"/>
      <c r="GOU5" s="146"/>
      <c r="GOV5" s="146"/>
      <c r="GOW5" s="146"/>
      <c r="GOX5" s="146"/>
      <c r="GOY5" s="146"/>
      <c r="GOZ5" s="146"/>
      <c r="GPA5" s="146"/>
      <c r="GPB5" s="146"/>
      <c r="GPC5" s="146"/>
      <c r="GPD5" s="146"/>
      <c r="GPE5" s="146"/>
      <c r="GPF5" s="146"/>
      <c r="GPG5" s="146"/>
      <c r="GPH5" s="146"/>
      <c r="GPI5" s="146"/>
      <c r="GPJ5" s="146"/>
      <c r="GPK5" s="146"/>
      <c r="GPL5" s="146"/>
      <c r="GPM5" s="146"/>
      <c r="GPN5" s="146"/>
      <c r="GPO5" s="146"/>
      <c r="GPP5" s="146"/>
      <c r="GPQ5" s="146"/>
      <c r="GPR5" s="146"/>
      <c r="GPS5" s="146"/>
      <c r="GPT5" s="146"/>
      <c r="GPU5" s="146"/>
      <c r="GPV5" s="146"/>
      <c r="GPW5" s="146"/>
      <c r="GPX5" s="146"/>
      <c r="GPY5" s="146"/>
      <c r="GPZ5" s="146"/>
      <c r="GQA5" s="146"/>
      <c r="GQB5" s="146"/>
      <c r="GQC5" s="146"/>
      <c r="GQD5" s="146"/>
      <c r="GQE5" s="146"/>
      <c r="GQF5" s="146"/>
      <c r="GQG5" s="146"/>
      <c r="GQH5" s="146"/>
      <c r="GQI5" s="146"/>
      <c r="GQJ5" s="146"/>
      <c r="GQK5" s="146"/>
      <c r="GQL5" s="146"/>
      <c r="GQM5" s="146"/>
      <c r="GQN5" s="146"/>
      <c r="GQO5" s="146"/>
      <c r="GQP5" s="146"/>
      <c r="GQQ5" s="146"/>
      <c r="GQR5" s="146"/>
      <c r="GQS5" s="146"/>
      <c r="GQT5" s="146"/>
      <c r="GQU5" s="146"/>
      <c r="GQV5" s="146"/>
      <c r="GQW5" s="146"/>
      <c r="GQX5" s="146"/>
      <c r="GQY5" s="146"/>
      <c r="GQZ5" s="146"/>
      <c r="GRA5" s="146"/>
      <c r="GRB5" s="146"/>
      <c r="GRC5" s="146"/>
      <c r="GRD5" s="146"/>
      <c r="GRE5" s="146"/>
      <c r="GRF5" s="146"/>
      <c r="GRG5" s="146"/>
      <c r="GRH5" s="146"/>
      <c r="GRI5" s="146"/>
      <c r="GRJ5" s="146"/>
      <c r="GRK5" s="146"/>
      <c r="GRL5" s="146"/>
      <c r="GRM5" s="146"/>
      <c r="GRN5" s="146"/>
      <c r="GRO5" s="146"/>
      <c r="GRP5" s="146"/>
      <c r="GRQ5" s="146"/>
      <c r="GRR5" s="146"/>
      <c r="GRS5" s="146"/>
      <c r="GRT5" s="146"/>
      <c r="GRU5" s="146"/>
      <c r="GRV5" s="146"/>
      <c r="GRW5" s="146"/>
      <c r="GRX5" s="146"/>
      <c r="GRY5" s="146"/>
      <c r="GRZ5" s="146"/>
      <c r="GSA5" s="146"/>
      <c r="GSB5" s="146"/>
      <c r="GSC5" s="146"/>
      <c r="GSD5" s="146"/>
      <c r="GSE5" s="146"/>
      <c r="GSF5" s="146"/>
      <c r="GSG5" s="146"/>
      <c r="GSH5" s="146"/>
      <c r="GSI5" s="146"/>
      <c r="GSJ5" s="146"/>
      <c r="GSK5" s="146"/>
      <c r="GSL5" s="146"/>
      <c r="GSM5" s="146"/>
      <c r="GSN5" s="146"/>
      <c r="GSO5" s="146"/>
      <c r="GSP5" s="146"/>
      <c r="GSQ5" s="146"/>
      <c r="GSR5" s="146"/>
      <c r="GSS5" s="146"/>
      <c r="GST5" s="146"/>
      <c r="GSU5" s="146"/>
      <c r="GSV5" s="146"/>
      <c r="GSW5" s="146"/>
      <c r="GSX5" s="146"/>
      <c r="GSY5" s="146"/>
      <c r="GSZ5" s="146"/>
      <c r="GTA5" s="146"/>
      <c r="GTB5" s="146"/>
      <c r="GTC5" s="146"/>
      <c r="GTD5" s="146"/>
      <c r="GTE5" s="146"/>
      <c r="GTF5" s="146"/>
      <c r="GTG5" s="146"/>
      <c r="GTH5" s="146"/>
      <c r="GTI5" s="146"/>
      <c r="GTJ5" s="146"/>
      <c r="GTK5" s="146"/>
      <c r="GTL5" s="146"/>
      <c r="GTM5" s="146"/>
      <c r="GTN5" s="146"/>
      <c r="GTO5" s="146"/>
      <c r="GTP5" s="146"/>
      <c r="GTQ5" s="146"/>
      <c r="GTR5" s="146"/>
      <c r="GTS5" s="146"/>
      <c r="GTT5" s="146"/>
      <c r="GTU5" s="146"/>
      <c r="GTV5" s="146"/>
      <c r="GTW5" s="146"/>
      <c r="GTX5" s="146"/>
      <c r="GTY5" s="146"/>
      <c r="GTZ5" s="146"/>
      <c r="GUA5" s="146"/>
      <c r="GUB5" s="146"/>
      <c r="GUC5" s="146"/>
      <c r="GUD5" s="146"/>
      <c r="GUE5" s="146"/>
      <c r="GUF5" s="146"/>
      <c r="GUG5" s="146"/>
      <c r="GUH5" s="146"/>
      <c r="GUI5" s="146"/>
      <c r="GUJ5" s="146"/>
      <c r="GUK5" s="146"/>
      <c r="GUL5" s="146"/>
      <c r="GUM5" s="146"/>
      <c r="GUN5" s="146"/>
      <c r="GUO5" s="146"/>
      <c r="GUP5" s="146"/>
      <c r="GUQ5" s="146"/>
      <c r="GUR5" s="146"/>
      <c r="GUS5" s="146"/>
      <c r="GUT5" s="146"/>
      <c r="GUU5" s="146"/>
      <c r="GUV5" s="146"/>
      <c r="GUW5" s="146"/>
      <c r="GUX5" s="146"/>
      <c r="GUY5" s="146"/>
      <c r="GUZ5" s="146"/>
      <c r="GVA5" s="146"/>
      <c r="GVB5" s="146"/>
      <c r="GVC5" s="146"/>
      <c r="GVD5" s="146"/>
      <c r="GVE5" s="146"/>
      <c r="GVF5" s="146"/>
      <c r="GVG5" s="146"/>
      <c r="GVH5" s="146"/>
      <c r="GVI5" s="146"/>
      <c r="GVJ5" s="146"/>
      <c r="GVK5" s="146"/>
      <c r="GVL5" s="146"/>
      <c r="GVM5" s="146"/>
      <c r="GVN5" s="146"/>
      <c r="GVO5" s="146"/>
      <c r="GVP5" s="146"/>
      <c r="GVQ5" s="146"/>
      <c r="GVR5" s="146"/>
      <c r="GVS5" s="146"/>
      <c r="GVT5" s="146"/>
      <c r="GVU5" s="146"/>
      <c r="GVV5" s="146"/>
      <c r="GVW5" s="146"/>
      <c r="GVX5" s="146"/>
      <c r="GVY5" s="146"/>
      <c r="GVZ5" s="146"/>
      <c r="GWA5" s="146"/>
      <c r="GWB5" s="146"/>
      <c r="GWC5" s="146"/>
      <c r="GWD5" s="146"/>
      <c r="GWE5" s="146"/>
      <c r="GWF5" s="146"/>
      <c r="GWG5" s="146"/>
      <c r="GWH5" s="146"/>
      <c r="GWI5" s="146"/>
      <c r="GWJ5" s="146"/>
      <c r="GWK5" s="146"/>
      <c r="GWL5" s="146"/>
      <c r="GWM5" s="146"/>
      <c r="GWN5" s="146"/>
      <c r="GWO5" s="146"/>
      <c r="GWP5" s="146"/>
      <c r="GWQ5" s="146"/>
      <c r="GWR5" s="146"/>
      <c r="GWS5" s="146"/>
      <c r="GWT5" s="146"/>
      <c r="GWU5" s="146"/>
      <c r="GWV5" s="146"/>
      <c r="GWW5" s="146"/>
      <c r="GWX5" s="146"/>
      <c r="GWY5" s="146"/>
      <c r="GWZ5" s="146"/>
      <c r="GXA5" s="146"/>
      <c r="GXB5" s="146"/>
      <c r="GXC5" s="146"/>
      <c r="GXD5" s="146"/>
      <c r="GXE5" s="146"/>
      <c r="GXF5" s="146"/>
      <c r="GXG5" s="146"/>
      <c r="GXH5" s="146"/>
      <c r="GXI5" s="146"/>
      <c r="GXJ5" s="146"/>
      <c r="GXK5" s="146"/>
      <c r="GXL5" s="146"/>
      <c r="GXM5" s="146"/>
      <c r="GXN5" s="146"/>
      <c r="GXO5" s="146"/>
      <c r="GXP5" s="146"/>
      <c r="GXQ5" s="146"/>
      <c r="GXR5" s="146"/>
      <c r="GXS5" s="146"/>
      <c r="GXT5" s="146"/>
      <c r="GXU5" s="146"/>
      <c r="GXV5" s="146"/>
      <c r="GXW5" s="146"/>
      <c r="GXX5" s="146"/>
      <c r="GXY5" s="146"/>
      <c r="GXZ5" s="146"/>
      <c r="GYA5" s="146"/>
      <c r="GYB5" s="146"/>
      <c r="GYC5" s="146"/>
      <c r="GYD5" s="146"/>
      <c r="GYE5" s="146"/>
      <c r="GYF5" s="146"/>
      <c r="GYG5" s="146"/>
      <c r="GYH5" s="146"/>
      <c r="GYI5" s="146"/>
      <c r="GYJ5" s="146"/>
      <c r="GYK5" s="146"/>
      <c r="GYL5" s="146"/>
      <c r="GYM5" s="146"/>
      <c r="GYN5" s="146"/>
      <c r="GYO5" s="146"/>
      <c r="GYP5" s="146"/>
      <c r="GYQ5" s="146"/>
      <c r="GYR5" s="146"/>
      <c r="GYS5" s="146"/>
      <c r="GYT5" s="146"/>
      <c r="GYU5" s="146"/>
      <c r="GYV5" s="146"/>
      <c r="GYW5" s="146"/>
      <c r="GYX5" s="146"/>
      <c r="GYY5" s="146"/>
      <c r="GYZ5" s="146"/>
      <c r="GZA5" s="146"/>
      <c r="GZB5" s="146"/>
      <c r="GZC5" s="146"/>
      <c r="GZD5" s="146"/>
      <c r="GZE5" s="146"/>
      <c r="GZF5" s="146"/>
      <c r="GZG5" s="146"/>
      <c r="GZH5" s="146"/>
      <c r="GZI5" s="146"/>
      <c r="GZJ5" s="146"/>
      <c r="GZK5" s="146"/>
      <c r="GZL5" s="146"/>
      <c r="GZM5" s="146"/>
      <c r="GZN5" s="146"/>
      <c r="GZO5" s="146"/>
      <c r="GZP5" s="146"/>
      <c r="GZQ5" s="146"/>
      <c r="GZR5" s="146"/>
      <c r="GZS5" s="146"/>
      <c r="GZT5" s="146"/>
      <c r="GZU5" s="146"/>
      <c r="GZV5" s="146"/>
      <c r="GZW5" s="146"/>
      <c r="GZX5" s="146"/>
      <c r="GZY5" s="146"/>
      <c r="GZZ5" s="146"/>
      <c r="HAA5" s="146"/>
      <c r="HAB5" s="146"/>
      <c r="HAC5" s="146"/>
      <c r="HAD5" s="146"/>
      <c r="HAE5" s="146"/>
      <c r="HAF5" s="146"/>
      <c r="HAG5" s="146"/>
      <c r="HAH5" s="146"/>
      <c r="HAI5" s="146"/>
      <c r="HAJ5" s="146"/>
      <c r="HAK5" s="146"/>
      <c r="HAL5" s="146"/>
      <c r="HAM5" s="146"/>
      <c r="HAN5" s="146"/>
      <c r="HAO5" s="146"/>
      <c r="HAP5" s="146"/>
      <c r="HAQ5" s="146"/>
      <c r="HAR5" s="146"/>
      <c r="HAS5" s="146"/>
      <c r="HAT5" s="146"/>
      <c r="HAU5" s="146"/>
      <c r="HAV5" s="146"/>
      <c r="HAW5" s="146"/>
      <c r="HAX5" s="146"/>
      <c r="HAY5" s="146"/>
      <c r="HAZ5" s="146"/>
      <c r="HBA5" s="146"/>
      <c r="HBB5" s="146"/>
      <c r="HBC5" s="146"/>
      <c r="HBD5" s="146"/>
      <c r="HBE5" s="146"/>
      <c r="HBF5" s="146"/>
      <c r="HBG5" s="146"/>
      <c r="HBH5" s="146"/>
      <c r="HBI5" s="146"/>
      <c r="HBJ5" s="146"/>
      <c r="HBK5" s="146"/>
      <c r="HBL5" s="146"/>
      <c r="HBM5" s="146"/>
      <c r="HBN5" s="146"/>
      <c r="HBO5" s="146"/>
      <c r="HBP5" s="146"/>
      <c r="HBQ5" s="146"/>
      <c r="HBR5" s="146"/>
      <c r="HBS5" s="146"/>
      <c r="HBT5" s="146"/>
      <c r="HBU5" s="146"/>
      <c r="HBV5" s="146"/>
      <c r="HBW5" s="146"/>
      <c r="HBX5" s="146"/>
      <c r="HBY5" s="146"/>
      <c r="HBZ5" s="146"/>
      <c r="HCA5" s="146"/>
      <c r="HCB5" s="146"/>
      <c r="HCC5" s="146"/>
      <c r="HCD5" s="146"/>
      <c r="HCE5" s="146"/>
      <c r="HCF5" s="146"/>
      <c r="HCG5" s="146"/>
      <c r="HCH5" s="146"/>
      <c r="HCI5" s="146"/>
      <c r="HCJ5" s="146"/>
      <c r="HCK5" s="146"/>
      <c r="HCL5" s="146"/>
      <c r="HCM5" s="146"/>
      <c r="HCN5" s="146"/>
      <c r="HCO5" s="146"/>
      <c r="HCP5" s="146"/>
      <c r="HCQ5" s="146"/>
      <c r="HCR5" s="146"/>
      <c r="HCS5" s="146"/>
      <c r="HCT5" s="146"/>
      <c r="HCU5" s="146"/>
      <c r="HCV5" s="146"/>
      <c r="HCW5" s="146"/>
      <c r="HCX5" s="146"/>
      <c r="HCY5" s="146"/>
      <c r="HCZ5" s="146"/>
      <c r="HDA5" s="146"/>
      <c r="HDB5" s="146"/>
      <c r="HDC5" s="146"/>
      <c r="HDD5" s="146"/>
      <c r="HDE5" s="146"/>
      <c r="HDF5" s="146"/>
      <c r="HDG5" s="146"/>
      <c r="HDH5" s="146"/>
      <c r="HDI5" s="146"/>
      <c r="HDJ5" s="146"/>
      <c r="HDK5" s="146"/>
      <c r="HDL5" s="146"/>
      <c r="HDM5" s="146"/>
      <c r="HDN5" s="146"/>
      <c r="HDO5" s="146"/>
      <c r="HDP5" s="146"/>
      <c r="HDQ5" s="146"/>
      <c r="HDR5" s="146"/>
      <c r="HDS5" s="146"/>
      <c r="HDT5" s="146"/>
      <c r="HDU5" s="146"/>
      <c r="HDV5" s="146"/>
      <c r="HDW5" s="146"/>
      <c r="HDX5" s="146"/>
      <c r="HDY5" s="146"/>
      <c r="HDZ5" s="146"/>
      <c r="HEA5" s="146"/>
      <c r="HEB5" s="146"/>
      <c r="HEC5" s="146"/>
      <c r="HED5" s="146"/>
      <c r="HEE5" s="146"/>
      <c r="HEF5" s="146"/>
      <c r="HEG5" s="146"/>
      <c r="HEH5" s="146"/>
      <c r="HEI5" s="146"/>
      <c r="HEJ5" s="146"/>
      <c r="HEK5" s="146"/>
      <c r="HEL5" s="146"/>
      <c r="HEM5" s="146"/>
      <c r="HEN5" s="146"/>
      <c r="HEO5" s="146"/>
      <c r="HEP5" s="146"/>
      <c r="HEQ5" s="146"/>
      <c r="HER5" s="146"/>
      <c r="HES5" s="146"/>
      <c r="HET5" s="146"/>
      <c r="HEU5" s="146"/>
      <c r="HEV5" s="146"/>
      <c r="HEW5" s="146"/>
      <c r="HEX5" s="146"/>
      <c r="HEY5" s="146"/>
      <c r="HEZ5" s="146"/>
      <c r="HFA5" s="146"/>
      <c r="HFB5" s="146"/>
      <c r="HFC5" s="146"/>
      <c r="HFD5" s="146"/>
      <c r="HFE5" s="146"/>
      <c r="HFF5" s="146"/>
      <c r="HFG5" s="146"/>
      <c r="HFH5" s="146"/>
      <c r="HFI5" s="146"/>
      <c r="HFJ5" s="146"/>
      <c r="HFK5" s="146"/>
      <c r="HFL5" s="146"/>
      <c r="HFM5" s="146"/>
      <c r="HFN5" s="146"/>
      <c r="HFO5" s="146"/>
      <c r="HFP5" s="146"/>
      <c r="HFQ5" s="146"/>
      <c r="HFR5" s="146"/>
      <c r="HFS5" s="146"/>
      <c r="HFT5" s="146"/>
      <c r="HFU5" s="146"/>
      <c r="HFV5" s="146"/>
      <c r="HFW5" s="146"/>
      <c r="HFX5" s="146"/>
      <c r="HFY5" s="146"/>
      <c r="HFZ5" s="146"/>
      <c r="HGA5" s="146"/>
      <c r="HGB5" s="146"/>
      <c r="HGC5" s="146"/>
      <c r="HGD5" s="146"/>
      <c r="HGE5" s="146"/>
      <c r="HGF5" s="146"/>
      <c r="HGG5" s="146"/>
      <c r="HGH5" s="146"/>
      <c r="HGI5" s="146"/>
      <c r="HGJ5" s="146"/>
      <c r="HGK5" s="146"/>
      <c r="HGL5" s="146"/>
      <c r="HGM5" s="146"/>
      <c r="HGN5" s="146"/>
      <c r="HGO5" s="146"/>
      <c r="HGP5" s="146"/>
      <c r="HGQ5" s="146"/>
      <c r="HGR5" s="146"/>
      <c r="HGS5" s="146"/>
      <c r="HGT5" s="146"/>
      <c r="HGU5" s="146"/>
      <c r="HGV5" s="146"/>
      <c r="HGW5" s="146"/>
      <c r="HGX5" s="146"/>
      <c r="HGY5" s="146"/>
      <c r="HGZ5" s="146"/>
      <c r="HHA5" s="146"/>
      <c r="HHB5" s="146"/>
      <c r="HHC5" s="146"/>
      <c r="HHD5" s="146"/>
      <c r="HHE5" s="146"/>
      <c r="HHF5" s="146"/>
      <c r="HHG5" s="146"/>
      <c r="HHH5" s="146"/>
      <c r="HHI5" s="146"/>
      <c r="HHJ5" s="146"/>
      <c r="HHK5" s="146"/>
      <c r="HHL5" s="146"/>
      <c r="HHM5" s="146"/>
      <c r="HHN5" s="146"/>
      <c r="HHO5" s="146"/>
      <c r="HHP5" s="146"/>
      <c r="HHQ5" s="146"/>
      <c r="HHR5" s="146"/>
      <c r="HHS5" s="146"/>
      <c r="HHT5" s="146"/>
      <c r="HHU5" s="146"/>
      <c r="HHV5" s="146"/>
      <c r="HHW5" s="146"/>
      <c r="HHX5" s="146"/>
      <c r="HHY5" s="146"/>
      <c r="HHZ5" s="146"/>
      <c r="HIA5" s="146"/>
      <c r="HIB5" s="146"/>
      <c r="HIC5" s="146"/>
      <c r="HID5" s="146"/>
      <c r="HIE5" s="146"/>
      <c r="HIF5" s="146"/>
      <c r="HIG5" s="146"/>
      <c r="HIH5" s="146"/>
      <c r="HII5" s="146"/>
      <c r="HIJ5" s="146"/>
      <c r="HIK5" s="146"/>
      <c r="HIL5" s="146"/>
      <c r="HIM5" s="146"/>
      <c r="HIN5" s="146"/>
      <c r="HIO5" s="146"/>
      <c r="HIP5" s="146"/>
      <c r="HIQ5" s="146"/>
      <c r="HIR5" s="146"/>
      <c r="HIS5" s="146"/>
      <c r="HIT5" s="146"/>
      <c r="HIU5" s="146"/>
      <c r="HIV5" s="146"/>
      <c r="HIW5" s="146"/>
      <c r="HIX5" s="146"/>
      <c r="HIY5" s="146"/>
      <c r="HIZ5" s="146"/>
      <c r="HJA5" s="146"/>
      <c r="HJB5" s="146"/>
      <c r="HJC5" s="146"/>
      <c r="HJD5" s="146"/>
      <c r="HJE5" s="146"/>
      <c r="HJF5" s="146"/>
      <c r="HJG5" s="146"/>
      <c r="HJH5" s="146"/>
      <c r="HJI5" s="146"/>
      <c r="HJJ5" s="146"/>
      <c r="HJK5" s="146"/>
      <c r="HJL5" s="146"/>
      <c r="HJM5" s="146"/>
      <c r="HJN5" s="146"/>
      <c r="HJO5" s="146"/>
      <c r="HJP5" s="146"/>
      <c r="HJQ5" s="146"/>
      <c r="HJR5" s="146"/>
      <c r="HJS5" s="146"/>
      <c r="HJT5" s="146"/>
      <c r="HJU5" s="146"/>
      <c r="HJV5" s="146"/>
      <c r="HJW5" s="146"/>
      <c r="HJX5" s="146"/>
      <c r="HJY5" s="146"/>
      <c r="HJZ5" s="146"/>
      <c r="HKA5" s="146"/>
      <c r="HKB5" s="146"/>
      <c r="HKC5" s="146"/>
      <c r="HKD5" s="146"/>
      <c r="HKE5" s="146"/>
      <c r="HKF5" s="146"/>
      <c r="HKG5" s="146"/>
      <c r="HKH5" s="146"/>
      <c r="HKI5" s="146"/>
      <c r="HKJ5" s="146"/>
      <c r="HKK5" s="146"/>
      <c r="HKL5" s="146"/>
      <c r="HKM5" s="146"/>
      <c r="HKN5" s="146"/>
      <c r="HKO5" s="146"/>
      <c r="HKP5" s="146"/>
      <c r="HKQ5" s="146"/>
      <c r="HKR5" s="146"/>
      <c r="HKS5" s="146"/>
      <c r="HKT5" s="146"/>
      <c r="HKU5" s="146"/>
      <c r="HKV5" s="146"/>
      <c r="HKW5" s="146"/>
      <c r="HKX5" s="146"/>
      <c r="HKY5" s="146"/>
      <c r="HKZ5" s="146"/>
      <c r="HLA5" s="146"/>
      <c r="HLB5" s="146"/>
      <c r="HLC5" s="146"/>
      <c r="HLD5" s="146"/>
      <c r="HLE5" s="146"/>
      <c r="HLF5" s="146"/>
      <c r="HLG5" s="146"/>
      <c r="HLH5" s="146"/>
      <c r="HLI5" s="146"/>
      <c r="HLJ5" s="146"/>
      <c r="HLK5" s="146"/>
      <c r="HLL5" s="146"/>
      <c r="HLM5" s="146"/>
      <c r="HLN5" s="146"/>
      <c r="HLO5" s="146"/>
      <c r="HLP5" s="146"/>
      <c r="HLQ5" s="146"/>
      <c r="HLR5" s="146"/>
      <c r="HLS5" s="146"/>
      <c r="HLT5" s="146"/>
      <c r="HLU5" s="146"/>
      <c r="HLV5" s="146"/>
      <c r="HLW5" s="146"/>
      <c r="HLX5" s="146"/>
      <c r="HLY5" s="146"/>
      <c r="HLZ5" s="146"/>
      <c r="HMA5" s="146"/>
      <c r="HMB5" s="146"/>
      <c r="HMC5" s="146"/>
      <c r="HMD5" s="146"/>
      <c r="HME5" s="146"/>
      <c r="HMF5" s="146"/>
      <c r="HMG5" s="146"/>
      <c r="HMH5" s="146"/>
      <c r="HMI5" s="146"/>
      <c r="HMJ5" s="146"/>
      <c r="HMK5" s="146"/>
      <c r="HML5" s="146"/>
      <c r="HMM5" s="146"/>
      <c r="HMN5" s="146"/>
      <c r="HMO5" s="146"/>
      <c r="HMP5" s="146"/>
      <c r="HMQ5" s="146"/>
      <c r="HMR5" s="146"/>
      <c r="HMS5" s="146"/>
      <c r="HMT5" s="146"/>
      <c r="HMU5" s="146"/>
      <c r="HMV5" s="146"/>
      <c r="HMW5" s="146"/>
      <c r="HMX5" s="146"/>
      <c r="HMY5" s="146"/>
      <c r="HMZ5" s="146"/>
      <c r="HNA5" s="146"/>
      <c r="HNB5" s="146"/>
      <c r="HNC5" s="146"/>
      <c r="HND5" s="146"/>
      <c r="HNE5" s="146"/>
      <c r="HNF5" s="146"/>
      <c r="HNG5" s="146"/>
      <c r="HNH5" s="146"/>
      <c r="HNI5" s="146"/>
      <c r="HNJ5" s="146"/>
      <c r="HNK5" s="146"/>
      <c r="HNL5" s="146"/>
      <c r="HNM5" s="146"/>
      <c r="HNN5" s="146"/>
      <c r="HNO5" s="146"/>
      <c r="HNP5" s="146"/>
      <c r="HNQ5" s="146"/>
      <c r="HNR5" s="146"/>
      <c r="HNS5" s="146"/>
      <c r="HNT5" s="146"/>
      <c r="HNU5" s="146"/>
      <c r="HNV5" s="146"/>
      <c r="HNW5" s="146"/>
      <c r="HNX5" s="146"/>
      <c r="HNY5" s="146"/>
      <c r="HNZ5" s="146"/>
      <c r="HOA5" s="146"/>
      <c r="HOB5" s="146"/>
      <c r="HOC5" s="146"/>
      <c r="HOD5" s="146"/>
      <c r="HOE5" s="146"/>
      <c r="HOF5" s="146"/>
      <c r="HOG5" s="146"/>
      <c r="HOH5" s="146"/>
      <c r="HOI5" s="146"/>
      <c r="HOJ5" s="146"/>
      <c r="HOK5" s="146"/>
      <c r="HOL5" s="146"/>
      <c r="HOM5" s="146"/>
      <c r="HON5" s="146"/>
      <c r="HOO5" s="146"/>
      <c r="HOP5" s="146"/>
      <c r="HOQ5" s="146"/>
      <c r="HOR5" s="146"/>
      <c r="HOS5" s="146"/>
      <c r="HOT5" s="146"/>
      <c r="HOU5" s="146"/>
      <c r="HOV5" s="146"/>
      <c r="HOW5" s="146"/>
      <c r="HOX5" s="146"/>
      <c r="HOY5" s="146"/>
      <c r="HOZ5" s="146"/>
      <c r="HPA5" s="146"/>
      <c r="HPB5" s="146"/>
      <c r="HPC5" s="146"/>
      <c r="HPD5" s="146"/>
      <c r="HPE5" s="146"/>
      <c r="HPF5" s="146"/>
      <c r="HPG5" s="146"/>
      <c r="HPH5" s="146"/>
      <c r="HPI5" s="146"/>
      <c r="HPJ5" s="146"/>
      <c r="HPK5" s="146"/>
      <c r="HPL5" s="146"/>
      <c r="HPM5" s="146"/>
      <c r="HPN5" s="146"/>
      <c r="HPO5" s="146"/>
      <c r="HPP5" s="146"/>
      <c r="HPQ5" s="146"/>
      <c r="HPR5" s="146"/>
      <c r="HPS5" s="146"/>
      <c r="HPT5" s="146"/>
      <c r="HPU5" s="146"/>
      <c r="HPV5" s="146"/>
      <c r="HPW5" s="146"/>
      <c r="HPX5" s="146"/>
      <c r="HPY5" s="146"/>
      <c r="HPZ5" s="146"/>
      <c r="HQA5" s="146"/>
      <c r="HQB5" s="146"/>
      <c r="HQC5" s="146"/>
      <c r="HQD5" s="146"/>
      <c r="HQE5" s="146"/>
      <c r="HQF5" s="146"/>
      <c r="HQG5" s="146"/>
      <c r="HQH5" s="146"/>
      <c r="HQI5" s="146"/>
      <c r="HQJ5" s="146"/>
      <c r="HQK5" s="146"/>
      <c r="HQL5" s="146"/>
      <c r="HQM5" s="146"/>
      <c r="HQN5" s="146"/>
      <c r="HQO5" s="146"/>
      <c r="HQP5" s="146"/>
      <c r="HQQ5" s="146"/>
      <c r="HQR5" s="146"/>
      <c r="HQS5" s="146"/>
      <c r="HQT5" s="146"/>
      <c r="HQU5" s="146"/>
      <c r="HQV5" s="146"/>
      <c r="HQW5" s="146"/>
      <c r="HQX5" s="146"/>
      <c r="HQY5" s="146"/>
      <c r="HQZ5" s="146"/>
      <c r="HRA5" s="146"/>
      <c r="HRB5" s="146"/>
      <c r="HRC5" s="146"/>
      <c r="HRD5" s="146"/>
      <c r="HRE5" s="146"/>
      <c r="HRF5" s="146"/>
      <c r="HRG5" s="146"/>
      <c r="HRH5" s="146"/>
      <c r="HRI5" s="146"/>
      <c r="HRJ5" s="146"/>
      <c r="HRK5" s="146"/>
      <c r="HRL5" s="146"/>
      <c r="HRM5" s="146"/>
      <c r="HRN5" s="146"/>
      <c r="HRO5" s="146"/>
      <c r="HRP5" s="146"/>
      <c r="HRQ5" s="146"/>
      <c r="HRR5" s="146"/>
      <c r="HRS5" s="146"/>
      <c r="HRT5" s="146"/>
      <c r="HRU5" s="146"/>
      <c r="HRV5" s="146"/>
      <c r="HRW5" s="146"/>
      <c r="HRX5" s="146"/>
      <c r="HRY5" s="146"/>
      <c r="HRZ5" s="146"/>
      <c r="HSA5" s="146"/>
      <c r="HSB5" s="146"/>
      <c r="HSC5" s="146"/>
      <c r="HSD5" s="146"/>
      <c r="HSE5" s="146"/>
      <c r="HSF5" s="146"/>
      <c r="HSG5" s="146"/>
      <c r="HSH5" s="146"/>
      <c r="HSI5" s="146"/>
      <c r="HSJ5" s="146"/>
      <c r="HSK5" s="146"/>
      <c r="HSL5" s="146"/>
      <c r="HSM5" s="146"/>
      <c r="HSN5" s="146"/>
      <c r="HSO5" s="146"/>
      <c r="HSP5" s="146"/>
      <c r="HSQ5" s="146"/>
      <c r="HSR5" s="146"/>
      <c r="HSS5" s="146"/>
      <c r="HST5" s="146"/>
      <c r="HSU5" s="146"/>
      <c r="HSV5" s="146"/>
      <c r="HSW5" s="146"/>
      <c r="HSX5" s="146"/>
      <c r="HSY5" s="146"/>
      <c r="HSZ5" s="146"/>
      <c r="HTA5" s="146"/>
      <c r="HTB5" s="146"/>
      <c r="HTC5" s="146"/>
      <c r="HTD5" s="146"/>
      <c r="HTE5" s="146"/>
      <c r="HTF5" s="146"/>
      <c r="HTG5" s="146"/>
      <c r="HTH5" s="146"/>
      <c r="HTI5" s="146"/>
      <c r="HTJ5" s="146"/>
      <c r="HTK5" s="146"/>
      <c r="HTL5" s="146"/>
      <c r="HTM5" s="146"/>
      <c r="HTN5" s="146"/>
      <c r="HTO5" s="146"/>
      <c r="HTP5" s="146"/>
      <c r="HTQ5" s="146"/>
      <c r="HTR5" s="146"/>
      <c r="HTS5" s="146"/>
      <c r="HTT5" s="146"/>
      <c r="HTU5" s="146"/>
      <c r="HTV5" s="146"/>
      <c r="HTW5" s="146"/>
      <c r="HTX5" s="146"/>
      <c r="HTY5" s="146"/>
      <c r="HTZ5" s="146"/>
      <c r="HUA5" s="146"/>
      <c r="HUB5" s="146"/>
      <c r="HUC5" s="146"/>
      <c r="HUD5" s="146"/>
      <c r="HUE5" s="146"/>
      <c r="HUF5" s="146"/>
      <c r="HUG5" s="146"/>
      <c r="HUH5" s="146"/>
      <c r="HUI5" s="146"/>
      <c r="HUJ5" s="146"/>
      <c r="HUK5" s="146"/>
      <c r="HUL5" s="146"/>
      <c r="HUM5" s="146"/>
      <c r="HUN5" s="146"/>
      <c r="HUO5" s="146"/>
      <c r="HUP5" s="146"/>
      <c r="HUQ5" s="146"/>
      <c r="HUR5" s="146"/>
      <c r="HUS5" s="146"/>
      <c r="HUT5" s="146"/>
      <c r="HUU5" s="146"/>
      <c r="HUV5" s="146"/>
      <c r="HUW5" s="146"/>
      <c r="HUX5" s="146"/>
      <c r="HUY5" s="146"/>
      <c r="HUZ5" s="146"/>
      <c r="HVA5" s="146"/>
      <c r="HVB5" s="146"/>
      <c r="HVC5" s="146"/>
      <c r="HVD5" s="146"/>
      <c r="HVE5" s="146"/>
      <c r="HVF5" s="146"/>
      <c r="HVG5" s="146"/>
      <c r="HVH5" s="146"/>
      <c r="HVI5" s="146"/>
      <c r="HVJ5" s="146"/>
      <c r="HVK5" s="146"/>
      <c r="HVL5" s="146"/>
      <c r="HVM5" s="146"/>
      <c r="HVN5" s="146"/>
      <c r="HVO5" s="146"/>
      <c r="HVP5" s="146"/>
      <c r="HVQ5" s="146"/>
      <c r="HVR5" s="146"/>
      <c r="HVS5" s="146"/>
      <c r="HVT5" s="146"/>
      <c r="HVU5" s="146"/>
      <c r="HVV5" s="146"/>
      <c r="HVW5" s="146"/>
      <c r="HVX5" s="146"/>
      <c r="HVY5" s="146"/>
      <c r="HVZ5" s="146"/>
      <c r="HWA5" s="146"/>
      <c r="HWB5" s="146"/>
      <c r="HWC5" s="146"/>
      <c r="HWD5" s="146"/>
      <c r="HWE5" s="146"/>
      <c r="HWF5" s="146"/>
      <c r="HWG5" s="146"/>
      <c r="HWH5" s="146"/>
      <c r="HWI5" s="146"/>
      <c r="HWJ5" s="146"/>
      <c r="HWK5" s="146"/>
      <c r="HWL5" s="146"/>
      <c r="HWM5" s="146"/>
      <c r="HWN5" s="146"/>
      <c r="HWO5" s="146"/>
      <c r="HWP5" s="146"/>
      <c r="HWQ5" s="146"/>
      <c r="HWR5" s="146"/>
      <c r="HWS5" s="146"/>
      <c r="HWT5" s="146"/>
      <c r="HWU5" s="146"/>
      <c r="HWV5" s="146"/>
      <c r="HWW5" s="146"/>
      <c r="HWX5" s="146"/>
      <c r="HWY5" s="146"/>
      <c r="HWZ5" s="146"/>
      <c r="HXA5" s="146"/>
      <c r="HXB5" s="146"/>
      <c r="HXC5" s="146"/>
      <c r="HXD5" s="146"/>
      <c r="HXE5" s="146"/>
      <c r="HXF5" s="146"/>
      <c r="HXG5" s="146"/>
      <c r="HXH5" s="146"/>
      <c r="HXI5" s="146"/>
      <c r="HXJ5" s="146"/>
      <c r="HXK5" s="146"/>
      <c r="HXL5" s="146"/>
      <c r="HXM5" s="146"/>
      <c r="HXN5" s="146"/>
      <c r="HXO5" s="146"/>
      <c r="HXP5" s="146"/>
      <c r="HXQ5" s="146"/>
      <c r="HXR5" s="146"/>
      <c r="HXS5" s="146"/>
      <c r="HXT5" s="146"/>
      <c r="HXU5" s="146"/>
      <c r="HXV5" s="146"/>
      <c r="HXW5" s="146"/>
      <c r="HXX5" s="146"/>
      <c r="HXY5" s="146"/>
      <c r="HXZ5" s="146"/>
      <c r="HYA5" s="146"/>
      <c r="HYB5" s="146"/>
      <c r="HYC5" s="146"/>
      <c r="HYD5" s="146"/>
      <c r="HYE5" s="146"/>
      <c r="HYF5" s="146"/>
      <c r="HYG5" s="146"/>
      <c r="HYH5" s="146"/>
      <c r="HYI5" s="146"/>
      <c r="HYJ5" s="146"/>
      <c r="HYK5" s="146"/>
      <c r="HYL5" s="146"/>
      <c r="HYM5" s="146"/>
      <c r="HYN5" s="146"/>
      <c r="HYO5" s="146"/>
      <c r="HYP5" s="146"/>
      <c r="HYQ5" s="146"/>
      <c r="HYR5" s="146"/>
      <c r="HYS5" s="146"/>
      <c r="HYT5" s="146"/>
      <c r="HYU5" s="146"/>
      <c r="HYV5" s="146"/>
      <c r="HYW5" s="146"/>
      <c r="HYX5" s="146"/>
      <c r="HYY5" s="146"/>
      <c r="HYZ5" s="146"/>
      <c r="HZA5" s="146"/>
      <c r="HZB5" s="146"/>
      <c r="HZC5" s="146"/>
      <c r="HZD5" s="146"/>
      <c r="HZE5" s="146"/>
      <c r="HZF5" s="146"/>
      <c r="HZG5" s="146"/>
      <c r="HZH5" s="146"/>
      <c r="HZI5" s="146"/>
      <c r="HZJ5" s="146"/>
      <c r="HZK5" s="146"/>
      <c r="HZL5" s="146"/>
      <c r="HZM5" s="146"/>
      <c r="HZN5" s="146"/>
      <c r="HZO5" s="146"/>
      <c r="HZP5" s="146"/>
      <c r="HZQ5" s="146"/>
      <c r="HZR5" s="146"/>
      <c r="HZS5" s="146"/>
      <c r="HZT5" s="146"/>
      <c r="HZU5" s="146"/>
      <c r="HZV5" s="146"/>
      <c r="HZW5" s="146"/>
      <c r="HZX5" s="146"/>
      <c r="HZY5" s="146"/>
      <c r="HZZ5" s="146"/>
      <c r="IAA5" s="146"/>
      <c r="IAB5" s="146"/>
      <c r="IAC5" s="146"/>
      <c r="IAD5" s="146"/>
      <c r="IAE5" s="146"/>
      <c r="IAF5" s="146"/>
      <c r="IAG5" s="146"/>
      <c r="IAH5" s="146"/>
      <c r="IAI5" s="146"/>
      <c r="IAJ5" s="146"/>
      <c r="IAK5" s="146"/>
      <c r="IAL5" s="146"/>
      <c r="IAM5" s="146"/>
      <c r="IAN5" s="146"/>
      <c r="IAO5" s="146"/>
      <c r="IAP5" s="146"/>
      <c r="IAQ5" s="146"/>
      <c r="IAR5" s="146"/>
      <c r="IAS5" s="146"/>
      <c r="IAT5" s="146"/>
      <c r="IAU5" s="146"/>
      <c r="IAV5" s="146"/>
      <c r="IAW5" s="146"/>
      <c r="IAX5" s="146"/>
      <c r="IAY5" s="146"/>
      <c r="IAZ5" s="146"/>
      <c r="IBA5" s="146"/>
      <c r="IBB5" s="146"/>
      <c r="IBC5" s="146"/>
      <c r="IBD5" s="146"/>
      <c r="IBE5" s="146"/>
      <c r="IBF5" s="146"/>
      <c r="IBG5" s="146"/>
      <c r="IBH5" s="146"/>
      <c r="IBI5" s="146"/>
      <c r="IBJ5" s="146"/>
      <c r="IBK5" s="146"/>
      <c r="IBL5" s="146"/>
      <c r="IBM5" s="146"/>
      <c r="IBN5" s="146"/>
      <c r="IBO5" s="146"/>
      <c r="IBP5" s="146"/>
      <c r="IBQ5" s="146"/>
      <c r="IBR5" s="146"/>
      <c r="IBS5" s="146"/>
      <c r="IBT5" s="146"/>
      <c r="IBU5" s="146"/>
      <c r="IBV5" s="146"/>
      <c r="IBW5" s="146"/>
      <c r="IBX5" s="146"/>
      <c r="IBY5" s="146"/>
      <c r="IBZ5" s="146"/>
      <c r="ICA5" s="146"/>
      <c r="ICB5" s="146"/>
      <c r="ICC5" s="146"/>
      <c r="ICD5" s="146"/>
      <c r="ICE5" s="146"/>
      <c r="ICF5" s="146"/>
      <c r="ICG5" s="146"/>
      <c r="ICH5" s="146"/>
      <c r="ICI5" s="146"/>
      <c r="ICJ5" s="146"/>
      <c r="ICK5" s="146"/>
      <c r="ICL5" s="146"/>
      <c r="ICM5" s="146"/>
      <c r="ICN5" s="146"/>
      <c r="ICO5" s="146"/>
      <c r="ICP5" s="146"/>
      <c r="ICQ5" s="146"/>
      <c r="ICR5" s="146"/>
      <c r="ICS5" s="146"/>
      <c r="ICT5" s="146"/>
      <c r="ICU5" s="146"/>
      <c r="ICV5" s="146"/>
      <c r="ICW5" s="146"/>
      <c r="ICX5" s="146"/>
      <c r="ICY5" s="146"/>
      <c r="ICZ5" s="146"/>
      <c r="IDA5" s="146"/>
      <c r="IDB5" s="146"/>
      <c r="IDC5" s="146"/>
      <c r="IDD5" s="146"/>
      <c r="IDE5" s="146"/>
      <c r="IDF5" s="146"/>
      <c r="IDG5" s="146"/>
      <c r="IDH5" s="146"/>
      <c r="IDI5" s="146"/>
      <c r="IDJ5" s="146"/>
      <c r="IDK5" s="146"/>
      <c r="IDL5" s="146"/>
      <c r="IDM5" s="146"/>
      <c r="IDN5" s="146"/>
      <c r="IDO5" s="146"/>
      <c r="IDP5" s="146"/>
      <c r="IDQ5" s="146"/>
      <c r="IDR5" s="146"/>
      <c r="IDS5" s="146"/>
      <c r="IDT5" s="146"/>
      <c r="IDU5" s="146"/>
      <c r="IDV5" s="146"/>
      <c r="IDW5" s="146"/>
      <c r="IDX5" s="146"/>
      <c r="IDY5" s="146"/>
      <c r="IDZ5" s="146"/>
      <c r="IEA5" s="146"/>
      <c r="IEB5" s="146"/>
      <c r="IEC5" s="146"/>
      <c r="IED5" s="146"/>
      <c r="IEE5" s="146"/>
      <c r="IEF5" s="146"/>
      <c r="IEG5" s="146"/>
      <c r="IEH5" s="146"/>
      <c r="IEI5" s="146"/>
      <c r="IEJ5" s="146"/>
      <c r="IEK5" s="146"/>
      <c r="IEL5" s="146"/>
      <c r="IEM5" s="146"/>
      <c r="IEN5" s="146"/>
      <c r="IEO5" s="146"/>
      <c r="IEP5" s="146"/>
      <c r="IEQ5" s="146"/>
      <c r="IER5" s="146"/>
      <c r="IES5" s="146"/>
      <c r="IET5" s="146"/>
      <c r="IEU5" s="146"/>
      <c r="IEV5" s="146"/>
      <c r="IEW5" s="146"/>
      <c r="IEX5" s="146"/>
      <c r="IEY5" s="146"/>
      <c r="IEZ5" s="146"/>
      <c r="IFA5" s="146"/>
      <c r="IFB5" s="146"/>
      <c r="IFC5" s="146"/>
      <c r="IFD5" s="146"/>
      <c r="IFE5" s="146"/>
      <c r="IFF5" s="146"/>
      <c r="IFG5" s="146"/>
      <c r="IFH5" s="146"/>
      <c r="IFI5" s="146"/>
      <c r="IFJ5" s="146"/>
      <c r="IFK5" s="146"/>
      <c r="IFL5" s="146"/>
      <c r="IFM5" s="146"/>
      <c r="IFN5" s="146"/>
      <c r="IFO5" s="146"/>
      <c r="IFP5" s="146"/>
      <c r="IFQ5" s="146"/>
      <c r="IFR5" s="146"/>
      <c r="IFS5" s="146"/>
      <c r="IFT5" s="146"/>
      <c r="IFU5" s="146"/>
      <c r="IFV5" s="146"/>
      <c r="IFW5" s="146"/>
      <c r="IFX5" s="146"/>
      <c r="IFY5" s="146"/>
      <c r="IFZ5" s="146"/>
      <c r="IGA5" s="146"/>
      <c r="IGB5" s="146"/>
      <c r="IGC5" s="146"/>
      <c r="IGD5" s="146"/>
      <c r="IGE5" s="146"/>
      <c r="IGF5" s="146"/>
      <c r="IGG5" s="146"/>
      <c r="IGH5" s="146"/>
      <c r="IGI5" s="146"/>
      <c r="IGJ5" s="146"/>
      <c r="IGK5" s="146"/>
      <c r="IGL5" s="146"/>
      <c r="IGM5" s="146"/>
      <c r="IGN5" s="146"/>
      <c r="IGO5" s="146"/>
      <c r="IGP5" s="146"/>
      <c r="IGQ5" s="146"/>
      <c r="IGR5" s="146"/>
      <c r="IGS5" s="146"/>
      <c r="IGT5" s="146"/>
      <c r="IGU5" s="146"/>
      <c r="IGV5" s="146"/>
      <c r="IGW5" s="146"/>
      <c r="IGX5" s="146"/>
      <c r="IGY5" s="146"/>
      <c r="IGZ5" s="146"/>
      <c r="IHA5" s="146"/>
      <c r="IHB5" s="146"/>
      <c r="IHC5" s="146"/>
      <c r="IHD5" s="146"/>
      <c r="IHE5" s="146"/>
      <c r="IHF5" s="146"/>
      <c r="IHG5" s="146"/>
      <c r="IHH5" s="146"/>
      <c r="IHI5" s="146"/>
      <c r="IHJ5" s="146"/>
      <c r="IHK5" s="146"/>
      <c r="IHL5" s="146"/>
      <c r="IHM5" s="146"/>
      <c r="IHN5" s="146"/>
      <c r="IHO5" s="146"/>
      <c r="IHP5" s="146"/>
      <c r="IHQ5" s="146"/>
      <c r="IHR5" s="146"/>
      <c r="IHS5" s="146"/>
      <c r="IHT5" s="146"/>
      <c r="IHU5" s="146"/>
      <c r="IHV5" s="146"/>
      <c r="IHW5" s="146"/>
      <c r="IHX5" s="146"/>
      <c r="IHY5" s="146"/>
      <c r="IHZ5" s="146"/>
      <c r="IIA5" s="146"/>
      <c r="IIB5" s="146"/>
      <c r="IIC5" s="146"/>
      <c r="IID5" s="146"/>
      <c r="IIE5" s="146"/>
      <c r="IIF5" s="146"/>
      <c r="IIG5" s="146"/>
      <c r="IIH5" s="146"/>
      <c r="III5" s="146"/>
      <c r="IIJ5" s="146"/>
      <c r="IIK5" s="146"/>
      <c r="IIL5" s="146"/>
      <c r="IIM5" s="146"/>
      <c r="IIN5" s="146"/>
      <c r="IIO5" s="146"/>
      <c r="IIP5" s="146"/>
      <c r="IIQ5" s="146"/>
      <c r="IIR5" s="146"/>
      <c r="IIS5" s="146"/>
      <c r="IIT5" s="146"/>
      <c r="IIU5" s="146"/>
      <c r="IIV5" s="146"/>
      <c r="IIW5" s="146"/>
      <c r="IIX5" s="146"/>
      <c r="IIY5" s="146"/>
      <c r="IIZ5" s="146"/>
      <c r="IJA5" s="146"/>
      <c r="IJB5" s="146"/>
      <c r="IJC5" s="146"/>
      <c r="IJD5" s="146"/>
      <c r="IJE5" s="146"/>
      <c r="IJF5" s="146"/>
      <c r="IJG5" s="146"/>
      <c r="IJH5" s="146"/>
      <c r="IJI5" s="146"/>
      <c r="IJJ5" s="146"/>
      <c r="IJK5" s="146"/>
      <c r="IJL5" s="146"/>
      <c r="IJM5" s="146"/>
      <c r="IJN5" s="146"/>
      <c r="IJO5" s="146"/>
      <c r="IJP5" s="146"/>
      <c r="IJQ5" s="146"/>
      <c r="IJR5" s="146"/>
      <c r="IJS5" s="146"/>
      <c r="IJT5" s="146"/>
      <c r="IJU5" s="146"/>
      <c r="IJV5" s="146"/>
      <c r="IJW5" s="146"/>
      <c r="IJX5" s="146"/>
      <c r="IJY5" s="146"/>
      <c r="IJZ5" s="146"/>
      <c r="IKA5" s="146"/>
      <c r="IKB5" s="146"/>
      <c r="IKC5" s="146"/>
      <c r="IKD5" s="146"/>
      <c r="IKE5" s="146"/>
      <c r="IKF5" s="146"/>
      <c r="IKG5" s="146"/>
      <c r="IKH5" s="146"/>
      <c r="IKI5" s="146"/>
      <c r="IKJ5" s="146"/>
      <c r="IKK5" s="146"/>
      <c r="IKL5" s="146"/>
      <c r="IKM5" s="146"/>
      <c r="IKN5" s="146"/>
      <c r="IKO5" s="146"/>
      <c r="IKP5" s="146"/>
      <c r="IKQ5" s="146"/>
      <c r="IKR5" s="146"/>
      <c r="IKS5" s="146"/>
      <c r="IKT5" s="146"/>
      <c r="IKU5" s="146"/>
      <c r="IKV5" s="146"/>
      <c r="IKW5" s="146"/>
      <c r="IKX5" s="146"/>
      <c r="IKY5" s="146"/>
      <c r="IKZ5" s="146"/>
      <c r="ILA5" s="146"/>
      <c r="ILB5" s="146"/>
      <c r="ILC5" s="146"/>
      <c r="ILD5" s="146"/>
      <c r="ILE5" s="146"/>
      <c r="ILF5" s="146"/>
      <c r="ILG5" s="146"/>
      <c r="ILH5" s="146"/>
      <c r="ILI5" s="146"/>
      <c r="ILJ5" s="146"/>
      <c r="ILK5" s="146"/>
      <c r="ILL5" s="146"/>
      <c r="ILM5" s="146"/>
      <c r="ILN5" s="146"/>
      <c r="ILO5" s="146"/>
      <c r="ILP5" s="146"/>
      <c r="ILQ5" s="146"/>
      <c r="ILR5" s="146"/>
      <c r="ILS5" s="146"/>
      <c r="ILT5" s="146"/>
      <c r="ILU5" s="146"/>
      <c r="ILV5" s="146"/>
      <c r="ILW5" s="146"/>
      <c r="ILX5" s="146"/>
      <c r="ILY5" s="146"/>
      <c r="ILZ5" s="146"/>
      <c r="IMA5" s="146"/>
      <c r="IMB5" s="146"/>
      <c r="IMC5" s="146"/>
      <c r="IMD5" s="146"/>
      <c r="IME5" s="146"/>
      <c r="IMF5" s="146"/>
      <c r="IMG5" s="146"/>
      <c r="IMH5" s="146"/>
      <c r="IMI5" s="146"/>
      <c r="IMJ5" s="146"/>
      <c r="IMK5" s="146"/>
      <c r="IML5" s="146"/>
      <c r="IMM5" s="146"/>
      <c r="IMN5" s="146"/>
      <c r="IMO5" s="146"/>
      <c r="IMP5" s="146"/>
      <c r="IMQ5" s="146"/>
      <c r="IMR5" s="146"/>
      <c r="IMS5" s="146"/>
      <c r="IMT5" s="146"/>
      <c r="IMU5" s="146"/>
      <c r="IMV5" s="146"/>
      <c r="IMW5" s="146"/>
      <c r="IMX5" s="146"/>
      <c r="IMY5" s="146"/>
      <c r="IMZ5" s="146"/>
      <c r="INA5" s="146"/>
      <c r="INB5" s="146"/>
      <c r="INC5" s="146"/>
      <c r="IND5" s="146"/>
      <c r="INE5" s="146"/>
      <c r="INF5" s="146"/>
      <c r="ING5" s="146"/>
      <c r="INH5" s="146"/>
      <c r="INI5" s="146"/>
      <c r="INJ5" s="146"/>
      <c r="INK5" s="146"/>
      <c r="INL5" s="146"/>
      <c r="INM5" s="146"/>
      <c r="INN5" s="146"/>
      <c r="INO5" s="146"/>
      <c r="INP5" s="146"/>
      <c r="INQ5" s="146"/>
      <c r="INR5" s="146"/>
      <c r="INS5" s="146"/>
      <c r="INT5" s="146"/>
      <c r="INU5" s="146"/>
      <c r="INV5" s="146"/>
      <c r="INW5" s="146"/>
      <c r="INX5" s="146"/>
      <c r="INY5" s="146"/>
      <c r="INZ5" s="146"/>
      <c r="IOA5" s="146"/>
      <c r="IOB5" s="146"/>
      <c r="IOC5" s="146"/>
      <c r="IOD5" s="146"/>
      <c r="IOE5" s="146"/>
      <c r="IOF5" s="146"/>
      <c r="IOG5" s="146"/>
      <c r="IOH5" s="146"/>
      <c r="IOI5" s="146"/>
      <c r="IOJ5" s="146"/>
      <c r="IOK5" s="146"/>
      <c r="IOL5" s="146"/>
      <c r="IOM5" s="146"/>
      <c r="ION5" s="146"/>
      <c r="IOO5" s="146"/>
      <c r="IOP5" s="146"/>
      <c r="IOQ5" s="146"/>
      <c r="IOR5" s="146"/>
      <c r="IOS5" s="146"/>
      <c r="IOT5" s="146"/>
      <c r="IOU5" s="146"/>
      <c r="IOV5" s="146"/>
      <c r="IOW5" s="146"/>
      <c r="IOX5" s="146"/>
      <c r="IOY5" s="146"/>
      <c r="IOZ5" s="146"/>
      <c r="IPA5" s="146"/>
      <c r="IPB5" s="146"/>
      <c r="IPC5" s="146"/>
      <c r="IPD5" s="146"/>
      <c r="IPE5" s="146"/>
      <c r="IPF5" s="146"/>
      <c r="IPG5" s="146"/>
      <c r="IPH5" s="146"/>
      <c r="IPI5" s="146"/>
      <c r="IPJ5" s="146"/>
      <c r="IPK5" s="146"/>
      <c r="IPL5" s="146"/>
      <c r="IPM5" s="146"/>
      <c r="IPN5" s="146"/>
      <c r="IPO5" s="146"/>
      <c r="IPP5" s="146"/>
      <c r="IPQ5" s="146"/>
      <c r="IPR5" s="146"/>
      <c r="IPS5" s="146"/>
      <c r="IPT5" s="146"/>
      <c r="IPU5" s="146"/>
      <c r="IPV5" s="146"/>
      <c r="IPW5" s="146"/>
      <c r="IPX5" s="146"/>
      <c r="IPY5" s="146"/>
      <c r="IPZ5" s="146"/>
      <c r="IQA5" s="146"/>
      <c r="IQB5" s="146"/>
      <c r="IQC5" s="146"/>
      <c r="IQD5" s="146"/>
      <c r="IQE5" s="146"/>
      <c r="IQF5" s="146"/>
      <c r="IQG5" s="146"/>
      <c r="IQH5" s="146"/>
      <c r="IQI5" s="146"/>
      <c r="IQJ5" s="146"/>
      <c r="IQK5" s="146"/>
      <c r="IQL5" s="146"/>
      <c r="IQM5" s="146"/>
      <c r="IQN5" s="146"/>
      <c r="IQO5" s="146"/>
      <c r="IQP5" s="146"/>
      <c r="IQQ5" s="146"/>
      <c r="IQR5" s="146"/>
      <c r="IQS5" s="146"/>
      <c r="IQT5" s="146"/>
      <c r="IQU5" s="146"/>
      <c r="IQV5" s="146"/>
      <c r="IQW5" s="146"/>
      <c r="IQX5" s="146"/>
      <c r="IQY5" s="146"/>
      <c r="IQZ5" s="146"/>
      <c r="IRA5" s="146"/>
      <c r="IRB5" s="146"/>
      <c r="IRC5" s="146"/>
      <c r="IRD5" s="146"/>
      <c r="IRE5" s="146"/>
      <c r="IRF5" s="146"/>
      <c r="IRG5" s="146"/>
      <c r="IRH5" s="146"/>
      <c r="IRI5" s="146"/>
      <c r="IRJ5" s="146"/>
      <c r="IRK5" s="146"/>
      <c r="IRL5" s="146"/>
      <c r="IRM5" s="146"/>
      <c r="IRN5" s="146"/>
      <c r="IRO5" s="146"/>
      <c r="IRP5" s="146"/>
      <c r="IRQ5" s="146"/>
      <c r="IRR5" s="146"/>
      <c r="IRS5" s="146"/>
      <c r="IRT5" s="146"/>
      <c r="IRU5" s="146"/>
      <c r="IRV5" s="146"/>
      <c r="IRW5" s="146"/>
      <c r="IRX5" s="146"/>
      <c r="IRY5" s="146"/>
      <c r="IRZ5" s="146"/>
      <c r="ISA5" s="146"/>
      <c r="ISB5" s="146"/>
      <c r="ISC5" s="146"/>
      <c r="ISD5" s="146"/>
      <c r="ISE5" s="146"/>
      <c r="ISF5" s="146"/>
      <c r="ISG5" s="146"/>
      <c r="ISH5" s="146"/>
      <c r="ISI5" s="146"/>
      <c r="ISJ5" s="146"/>
      <c r="ISK5" s="146"/>
      <c r="ISL5" s="146"/>
      <c r="ISM5" s="146"/>
      <c r="ISN5" s="146"/>
      <c r="ISO5" s="146"/>
      <c r="ISP5" s="146"/>
      <c r="ISQ5" s="146"/>
      <c r="ISR5" s="146"/>
      <c r="ISS5" s="146"/>
      <c r="IST5" s="146"/>
      <c r="ISU5" s="146"/>
      <c r="ISV5" s="146"/>
      <c r="ISW5" s="146"/>
      <c r="ISX5" s="146"/>
      <c r="ISY5" s="146"/>
      <c r="ISZ5" s="146"/>
      <c r="ITA5" s="146"/>
      <c r="ITB5" s="146"/>
      <c r="ITC5" s="146"/>
      <c r="ITD5" s="146"/>
      <c r="ITE5" s="146"/>
      <c r="ITF5" s="146"/>
      <c r="ITG5" s="146"/>
      <c r="ITH5" s="146"/>
      <c r="ITI5" s="146"/>
      <c r="ITJ5" s="146"/>
      <c r="ITK5" s="146"/>
      <c r="ITL5" s="146"/>
      <c r="ITM5" s="146"/>
      <c r="ITN5" s="146"/>
      <c r="ITO5" s="146"/>
      <c r="ITP5" s="146"/>
      <c r="ITQ5" s="146"/>
      <c r="ITR5" s="146"/>
      <c r="ITS5" s="146"/>
      <c r="ITT5" s="146"/>
      <c r="ITU5" s="146"/>
      <c r="ITV5" s="146"/>
      <c r="ITW5" s="146"/>
      <c r="ITX5" s="146"/>
      <c r="ITY5" s="146"/>
      <c r="ITZ5" s="146"/>
      <c r="IUA5" s="146"/>
      <c r="IUB5" s="146"/>
      <c r="IUC5" s="146"/>
      <c r="IUD5" s="146"/>
      <c r="IUE5" s="146"/>
      <c r="IUF5" s="146"/>
      <c r="IUG5" s="146"/>
      <c r="IUH5" s="146"/>
      <c r="IUI5" s="146"/>
      <c r="IUJ5" s="146"/>
      <c r="IUK5" s="146"/>
      <c r="IUL5" s="146"/>
      <c r="IUM5" s="146"/>
      <c r="IUN5" s="146"/>
      <c r="IUO5" s="146"/>
      <c r="IUP5" s="146"/>
      <c r="IUQ5" s="146"/>
      <c r="IUR5" s="146"/>
      <c r="IUS5" s="146"/>
      <c r="IUT5" s="146"/>
      <c r="IUU5" s="146"/>
      <c r="IUV5" s="146"/>
      <c r="IUW5" s="146"/>
      <c r="IUX5" s="146"/>
      <c r="IUY5" s="146"/>
      <c r="IUZ5" s="146"/>
      <c r="IVA5" s="146"/>
      <c r="IVB5" s="146"/>
      <c r="IVC5" s="146"/>
      <c r="IVD5" s="146"/>
      <c r="IVE5" s="146"/>
      <c r="IVF5" s="146"/>
      <c r="IVG5" s="146"/>
      <c r="IVH5" s="146"/>
      <c r="IVI5" s="146"/>
      <c r="IVJ5" s="146"/>
      <c r="IVK5" s="146"/>
      <c r="IVL5" s="146"/>
      <c r="IVM5" s="146"/>
      <c r="IVN5" s="146"/>
      <c r="IVO5" s="146"/>
      <c r="IVP5" s="146"/>
      <c r="IVQ5" s="146"/>
      <c r="IVR5" s="146"/>
      <c r="IVS5" s="146"/>
      <c r="IVT5" s="146"/>
      <c r="IVU5" s="146"/>
      <c r="IVV5" s="146"/>
      <c r="IVW5" s="146"/>
      <c r="IVX5" s="146"/>
      <c r="IVY5" s="146"/>
      <c r="IVZ5" s="146"/>
      <c r="IWA5" s="146"/>
      <c r="IWB5" s="146"/>
      <c r="IWC5" s="146"/>
      <c r="IWD5" s="146"/>
      <c r="IWE5" s="146"/>
      <c r="IWF5" s="146"/>
      <c r="IWG5" s="146"/>
      <c r="IWH5" s="146"/>
      <c r="IWI5" s="146"/>
      <c r="IWJ5" s="146"/>
      <c r="IWK5" s="146"/>
      <c r="IWL5" s="146"/>
      <c r="IWM5" s="146"/>
      <c r="IWN5" s="146"/>
      <c r="IWO5" s="146"/>
      <c r="IWP5" s="146"/>
      <c r="IWQ5" s="146"/>
      <c r="IWR5" s="146"/>
      <c r="IWS5" s="146"/>
      <c r="IWT5" s="146"/>
      <c r="IWU5" s="146"/>
      <c r="IWV5" s="146"/>
      <c r="IWW5" s="146"/>
      <c r="IWX5" s="146"/>
      <c r="IWY5" s="146"/>
      <c r="IWZ5" s="146"/>
      <c r="IXA5" s="146"/>
      <c r="IXB5" s="146"/>
      <c r="IXC5" s="146"/>
      <c r="IXD5" s="146"/>
      <c r="IXE5" s="146"/>
      <c r="IXF5" s="146"/>
      <c r="IXG5" s="146"/>
      <c r="IXH5" s="146"/>
      <c r="IXI5" s="146"/>
      <c r="IXJ5" s="146"/>
      <c r="IXK5" s="146"/>
      <c r="IXL5" s="146"/>
      <c r="IXM5" s="146"/>
      <c r="IXN5" s="146"/>
      <c r="IXO5" s="146"/>
      <c r="IXP5" s="146"/>
      <c r="IXQ5" s="146"/>
      <c r="IXR5" s="146"/>
      <c r="IXS5" s="146"/>
      <c r="IXT5" s="146"/>
      <c r="IXU5" s="146"/>
      <c r="IXV5" s="146"/>
      <c r="IXW5" s="146"/>
      <c r="IXX5" s="146"/>
      <c r="IXY5" s="146"/>
      <c r="IXZ5" s="146"/>
      <c r="IYA5" s="146"/>
      <c r="IYB5" s="146"/>
      <c r="IYC5" s="146"/>
      <c r="IYD5" s="146"/>
      <c r="IYE5" s="146"/>
      <c r="IYF5" s="146"/>
      <c r="IYG5" s="146"/>
      <c r="IYH5" s="146"/>
      <c r="IYI5" s="146"/>
      <c r="IYJ5" s="146"/>
      <c r="IYK5" s="146"/>
      <c r="IYL5" s="146"/>
      <c r="IYM5" s="146"/>
      <c r="IYN5" s="146"/>
      <c r="IYO5" s="146"/>
      <c r="IYP5" s="146"/>
      <c r="IYQ5" s="146"/>
      <c r="IYR5" s="146"/>
      <c r="IYS5" s="146"/>
      <c r="IYT5" s="146"/>
      <c r="IYU5" s="146"/>
      <c r="IYV5" s="146"/>
      <c r="IYW5" s="146"/>
      <c r="IYX5" s="146"/>
      <c r="IYY5" s="146"/>
      <c r="IYZ5" s="146"/>
      <c r="IZA5" s="146"/>
      <c r="IZB5" s="146"/>
      <c r="IZC5" s="146"/>
      <c r="IZD5" s="146"/>
      <c r="IZE5" s="146"/>
      <c r="IZF5" s="146"/>
      <c r="IZG5" s="146"/>
      <c r="IZH5" s="146"/>
      <c r="IZI5" s="146"/>
      <c r="IZJ5" s="146"/>
      <c r="IZK5" s="146"/>
      <c r="IZL5" s="146"/>
      <c r="IZM5" s="146"/>
      <c r="IZN5" s="146"/>
      <c r="IZO5" s="146"/>
      <c r="IZP5" s="146"/>
      <c r="IZQ5" s="146"/>
      <c r="IZR5" s="146"/>
      <c r="IZS5" s="146"/>
      <c r="IZT5" s="146"/>
      <c r="IZU5" s="146"/>
      <c r="IZV5" s="146"/>
      <c r="IZW5" s="146"/>
      <c r="IZX5" s="146"/>
      <c r="IZY5" s="146"/>
      <c r="IZZ5" s="146"/>
      <c r="JAA5" s="146"/>
      <c r="JAB5" s="146"/>
      <c r="JAC5" s="146"/>
      <c r="JAD5" s="146"/>
      <c r="JAE5" s="146"/>
      <c r="JAF5" s="146"/>
      <c r="JAG5" s="146"/>
      <c r="JAH5" s="146"/>
      <c r="JAI5" s="146"/>
      <c r="JAJ5" s="146"/>
      <c r="JAK5" s="146"/>
      <c r="JAL5" s="146"/>
      <c r="JAM5" s="146"/>
      <c r="JAN5" s="146"/>
      <c r="JAO5" s="146"/>
      <c r="JAP5" s="146"/>
      <c r="JAQ5" s="146"/>
      <c r="JAR5" s="146"/>
      <c r="JAS5" s="146"/>
      <c r="JAT5" s="146"/>
      <c r="JAU5" s="146"/>
      <c r="JAV5" s="146"/>
      <c r="JAW5" s="146"/>
      <c r="JAX5" s="146"/>
      <c r="JAY5" s="146"/>
      <c r="JAZ5" s="146"/>
      <c r="JBA5" s="146"/>
      <c r="JBB5" s="146"/>
      <c r="JBC5" s="146"/>
      <c r="JBD5" s="146"/>
      <c r="JBE5" s="146"/>
      <c r="JBF5" s="146"/>
      <c r="JBG5" s="146"/>
      <c r="JBH5" s="146"/>
      <c r="JBI5" s="146"/>
      <c r="JBJ5" s="146"/>
      <c r="JBK5" s="146"/>
      <c r="JBL5" s="146"/>
      <c r="JBM5" s="146"/>
      <c r="JBN5" s="146"/>
      <c r="JBO5" s="146"/>
      <c r="JBP5" s="146"/>
      <c r="JBQ5" s="146"/>
      <c r="JBR5" s="146"/>
      <c r="JBS5" s="146"/>
      <c r="JBT5" s="146"/>
      <c r="JBU5" s="146"/>
      <c r="JBV5" s="146"/>
      <c r="JBW5" s="146"/>
      <c r="JBX5" s="146"/>
      <c r="JBY5" s="146"/>
      <c r="JBZ5" s="146"/>
      <c r="JCA5" s="146"/>
      <c r="JCB5" s="146"/>
      <c r="JCC5" s="146"/>
      <c r="JCD5" s="146"/>
      <c r="JCE5" s="146"/>
      <c r="JCF5" s="146"/>
      <c r="JCG5" s="146"/>
      <c r="JCH5" s="146"/>
      <c r="JCI5" s="146"/>
      <c r="JCJ5" s="146"/>
      <c r="JCK5" s="146"/>
      <c r="JCL5" s="146"/>
      <c r="JCM5" s="146"/>
      <c r="JCN5" s="146"/>
      <c r="JCO5" s="146"/>
      <c r="JCP5" s="146"/>
      <c r="JCQ5" s="146"/>
      <c r="JCR5" s="146"/>
      <c r="JCS5" s="146"/>
      <c r="JCT5" s="146"/>
      <c r="JCU5" s="146"/>
      <c r="JCV5" s="146"/>
      <c r="JCW5" s="146"/>
      <c r="JCX5" s="146"/>
      <c r="JCY5" s="146"/>
      <c r="JCZ5" s="146"/>
      <c r="JDA5" s="146"/>
      <c r="JDB5" s="146"/>
      <c r="JDC5" s="146"/>
      <c r="JDD5" s="146"/>
      <c r="JDE5" s="146"/>
      <c r="JDF5" s="146"/>
      <c r="JDG5" s="146"/>
      <c r="JDH5" s="146"/>
      <c r="JDI5" s="146"/>
      <c r="JDJ5" s="146"/>
      <c r="JDK5" s="146"/>
      <c r="JDL5" s="146"/>
      <c r="JDM5" s="146"/>
      <c r="JDN5" s="146"/>
      <c r="JDO5" s="146"/>
      <c r="JDP5" s="146"/>
      <c r="JDQ5" s="146"/>
      <c r="JDR5" s="146"/>
      <c r="JDS5" s="146"/>
      <c r="JDT5" s="146"/>
      <c r="JDU5" s="146"/>
      <c r="JDV5" s="146"/>
      <c r="JDW5" s="146"/>
      <c r="JDX5" s="146"/>
      <c r="JDY5" s="146"/>
      <c r="JDZ5" s="146"/>
      <c r="JEA5" s="146"/>
      <c r="JEB5" s="146"/>
      <c r="JEC5" s="146"/>
      <c r="JED5" s="146"/>
      <c r="JEE5" s="146"/>
      <c r="JEF5" s="146"/>
      <c r="JEG5" s="146"/>
      <c r="JEH5" s="146"/>
      <c r="JEI5" s="146"/>
      <c r="JEJ5" s="146"/>
      <c r="JEK5" s="146"/>
      <c r="JEL5" s="146"/>
      <c r="JEM5" s="146"/>
      <c r="JEN5" s="146"/>
      <c r="JEO5" s="146"/>
      <c r="JEP5" s="146"/>
      <c r="JEQ5" s="146"/>
      <c r="JER5" s="146"/>
      <c r="JES5" s="146"/>
      <c r="JET5" s="146"/>
      <c r="JEU5" s="146"/>
      <c r="JEV5" s="146"/>
      <c r="JEW5" s="146"/>
      <c r="JEX5" s="146"/>
      <c r="JEY5" s="146"/>
      <c r="JEZ5" s="146"/>
      <c r="JFA5" s="146"/>
      <c r="JFB5" s="146"/>
      <c r="JFC5" s="146"/>
      <c r="JFD5" s="146"/>
      <c r="JFE5" s="146"/>
      <c r="JFF5" s="146"/>
      <c r="JFG5" s="146"/>
      <c r="JFH5" s="146"/>
      <c r="JFI5" s="146"/>
      <c r="JFJ5" s="146"/>
      <c r="JFK5" s="146"/>
      <c r="JFL5" s="146"/>
      <c r="JFM5" s="146"/>
      <c r="JFN5" s="146"/>
      <c r="JFO5" s="146"/>
      <c r="JFP5" s="146"/>
      <c r="JFQ5" s="146"/>
      <c r="JFR5" s="146"/>
      <c r="JFS5" s="146"/>
      <c r="JFT5" s="146"/>
      <c r="JFU5" s="146"/>
      <c r="JFV5" s="146"/>
      <c r="JFW5" s="146"/>
      <c r="JFX5" s="146"/>
      <c r="JFY5" s="146"/>
      <c r="JFZ5" s="146"/>
      <c r="JGA5" s="146"/>
      <c r="JGB5" s="146"/>
      <c r="JGC5" s="146"/>
      <c r="JGD5" s="146"/>
      <c r="JGE5" s="146"/>
      <c r="JGF5" s="146"/>
      <c r="JGG5" s="146"/>
      <c r="JGH5" s="146"/>
      <c r="JGI5" s="146"/>
      <c r="JGJ5" s="146"/>
      <c r="JGK5" s="146"/>
      <c r="JGL5" s="146"/>
      <c r="JGM5" s="146"/>
      <c r="JGN5" s="146"/>
      <c r="JGO5" s="146"/>
      <c r="JGP5" s="146"/>
      <c r="JGQ5" s="146"/>
      <c r="JGR5" s="146"/>
      <c r="JGS5" s="146"/>
      <c r="JGT5" s="146"/>
      <c r="JGU5" s="146"/>
      <c r="JGV5" s="146"/>
      <c r="JGW5" s="146"/>
      <c r="JGX5" s="146"/>
      <c r="JGY5" s="146"/>
      <c r="JGZ5" s="146"/>
      <c r="JHA5" s="146"/>
      <c r="JHB5" s="146"/>
      <c r="JHC5" s="146"/>
      <c r="JHD5" s="146"/>
      <c r="JHE5" s="146"/>
      <c r="JHF5" s="146"/>
      <c r="JHG5" s="146"/>
      <c r="JHH5" s="146"/>
      <c r="JHI5" s="146"/>
      <c r="JHJ5" s="146"/>
      <c r="JHK5" s="146"/>
      <c r="JHL5" s="146"/>
      <c r="JHM5" s="146"/>
      <c r="JHN5" s="146"/>
      <c r="JHO5" s="146"/>
      <c r="JHP5" s="146"/>
      <c r="JHQ5" s="146"/>
      <c r="JHR5" s="146"/>
      <c r="JHS5" s="146"/>
      <c r="JHT5" s="146"/>
      <c r="JHU5" s="146"/>
      <c r="JHV5" s="146"/>
      <c r="JHW5" s="146"/>
      <c r="JHX5" s="146"/>
      <c r="JHY5" s="146"/>
      <c r="JHZ5" s="146"/>
      <c r="JIA5" s="146"/>
      <c r="JIB5" s="146"/>
      <c r="JIC5" s="146"/>
      <c r="JID5" s="146"/>
      <c r="JIE5" s="146"/>
      <c r="JIF5" s="146"/>
      <c r="JIG5" s="146"/>
      <c r="JIH5" s="146"/>
      <c r="JII5" s="146"/>
      <c r="JIJ5" s="146"/>
      <c r="JIK5" s="146"/>
      <c r="JIL5" s="146"/>
      <c r="JIM5" s="146"/>
      <c r="JIN5" s="146"/>
      <c r="JIO5" s="146"/>
      <c r="JIP5" s="146"/>
      <c r="JIQ5" s="146"/>
      <c r="JIR5" s="146"/>
      <c r="JIS5" s="146"/>
      <c r="JIT5" s="146"/>
      <c r="JIU5" s="146"/>
      <c r="JIV5" s="146"/>
      <c r="JIW5" s="146"/>
      <c r="JIX5" s="146"/>
      <c r="JIY5" s="146"/>
      <c r="JIZ5" s="146"/>
      <c r="JJA5" s="146"/>
      <c r="JJB5" s="146"/>
      <c r="JJC5" s="146"/>
      <c r="JJD5" s="146"/>
      <c r="JJE5" s="146"/>
      <c r="JJF5" s="146"/>
      <c r="JJG5" s="146"/>
      <c r="JJH5" s="146"/>
      <c r="JJI5" s="146"/>
      <c r="JJJ5" s="146"/>
      <c r="JJK5" s="146"/>
      <c r="JJL5" s="146"/>
      <c r="JJM5" s="146"/>
      <c r="JJN5" s="146"/>
      <c r="JJO5" s="146"/>
      <c r="JJP5" s="146"/>
      <c r="JJQ5" s="146"/>
      <c r="JJR5" s="146"/>
      <c r="JJS5" s="146"/>
      <c r="JJT5" s="146"/>
      <c r="JJU5" s="146"/>
      <c r="JJV5" s="146"/>
      <c r="JJW5" s="146"/>
      <c r="JJX5" s="146"/>
      <c r="JJY5" s="146"/>
      <c r="JJZ5" s="146"/>
      <c r="JKA5" s="146"/>
      <c r="JKB5" s="146"/>
      <c r="JKC5" s="146"/>
      <c r="JKD5" s="146"/>
      <c r="JKE5" s="146"/>
      <c r="JKF5" s="146"/>
      <c r="JKG5" s="146"/>
      <c r="JKH5" s="146"/>
      <c r="JKI5" s="146"/>
      <c r="JKJ5" s="146"/>
      <c r="JKK5" s="146"/>
      <c r="JKL5" s="146"/>
      <c r="JKM5" s="146"/>
      <c r="JKN5" s="146"/>
      <c r="JKO5" s="146"/>
      <c r="JKP5" s="146"/>
      <c r="JKQ5" s="146"/>
      <c r="JKR5" s="146"/>
      <c r="JKS5" s="146"/>
      <c r="JKT5" s="146"/>
      <c r="JKU5" s="146"/>
      <c r="JKV5" s="146"/>
      <c r="JKW5" s="146"/>
      <c r="JKX5" s="146"/>
      <c r="JKY5" s="146"/>
      <c r="JKZ5" s="146"/>
      <c r="JLA5" s="146"/>
      <c r="JLB5" s="146"/>
      <c r="JLC5" s="146"/>
      <c r="JLD5" s="146"/>
      <c r="JLE5" s="146"/>
      <c r="JLF5" s="146"/>
      <c r="JLG5" s="146"/>
      <c r="JLH5" s="146"/>
      <c r="JLI5" s="146"/>
      <c r="JLJ5" s="146"/>
      <c r="JLK5" s="146"/>
      <c r="JLL5" s="146"/>
      <c r="JLM5" s="146"/>
      <c r="JLN5" s="146"/>
      <c r="JLO5" s="146"/>
      <c r="JLP5" s="146"/>
      <c r="JLQ5" s="146"/>
      <c r="JLR5" s="146"/>
      <c r="JLS5" s="146"/>
      <c r="JLT5" s="146"/>
      <c r="JLU5" s="146"/>
      <c r="JLV5" s="146"/>
      <c r="JLW5" s="146"/>
      <c r="JLX5" s="146"/>
      <c r="JLY5" s="146"/>
      <c r="JLZ5" s="146"/>
      <c r="JMA5" s="146"/>
      <c r="JMB5" s="146"/>
      <c r="JMC5" s="146"/>
      <c r="JMD5" s="146"/>
      <c r="JME5" s="146"/>
      <c r="JMF5" s="146"/>
      <c r="JMG5" s="146"/>
      <c r="JMH5" s="146"/>
      <c r="JMI5" s="146"/>
      <c r="JMJ5" s="146"/>
      <c r="JMK5" s="146"/>
      <c r="JML5" s="146"/>
      <c r="JMM5" s="146"/>
      <c r="JMN5" s="146"/>
      <c r="JMO5" s="146"/>
      <c r="JMP5" s="146"/>
      <c r="JMQ5" s="146"/>
      <c r="JMR5" s="146"/>
      <c r="JMS5" s="146"/>
      <c r="JMT5" s="146"/>
      <c r="JMU5" s="146"/>
      <c r="JMV5" s="146"/>
      <c r="JMW5" s="146"/>
      <c r="JMX5" s="146"/>
      <c r="JMY5" s="146"/>
      <c r="JMZ5" s="146"/>
      <c r="JNA5" s="146"/>
      <c r="JNB5" s="146"/>
      <c r="JNC5" s="146"/>
      <c r="JND5" s="146"/>
      <c r="JNE5" s="146"/>
      <c r="JNF5" s="146"/>
      <c r="JNG5" s="146"/>
      <c r="JNH5" s="146"/>
      <c r="JNI5" s="146"/>
      <c r="JNJ5" s="146"/>
      <c r="JNK5" s="146"/>
      <c r="JNL5" s="146"/>
      <c r="JNM5" s="146"/>
      <c r="JNN5" s="146"/>
      <c r="JNO5" s="146"/>
      <c r="JNP5" s="146"/>
      <c r="JNQ5" s="146"/>
      <c r="JNR5" s="146"/>
      <c r="JNS5" s="146"/>
      <c r="JNT5" s="146"/>
      <c r="JNU5" s="146"/>
      <c r="JNV5" s="146"/>
      <c r="JNW5" s="146"/>
      <c r="JNX5" s="146"/>
      <c r="JNY5" s="146"/>
      <c r="JNZ5" s="146"/>
      <c r="JOA5" s="146"/>
      <c r="JOB5" s="146"/>
      <c r="JOC5" s="146"/>
      <c r="JOD5" s="146"/>
      <c r="JOE5" s="146"/>
      <c r="JOF5" s="146"/>
      <c r="JOG5" s="146"/>
      <c r="JOH5" s="146"/>
      <c r="JOI5" s="146"/>
      <c r="JOJ5" s="146"/>
      <c r="JOK5" s="146"/>
      <c r="JOL5" s="146"/>
      <c r="JOM5" s="146"/>
      <c r="JON5" s="146"/>
      <c r="JOO5" s="146"/>
      <c r="JOP5" s="146"/>
      <c r="JOQ5" s="146"/>
      <c r="JOR5" s="146"/>
      <c r="JOS5" s="146"/>
      <c r="JOT5" s="146"/>
      <c r="JOU5" s="146"/>
      <c r="JOV5" s="146"/>
      <c r="JOW5" s="146"/>
      <c r="JOX5" s="146"/>
      <c r="JOY5" s="146"/>
      <c r="JOZ5" s="146"/>
      <c r="JPA5" s="146"/>
      <c r="JPB5" s="146"/>
      <c r="JPC5" s="146"/>
      <c r="JPD5" s="146"/>
      <c r="JPE5" s="146"/>
      <c r="JPF5" s="146"/>
      <c r="JPG5" s="146"/>
      <c r="JPH5" s="146"/>
      <c r="JPI5" s="146"/>
      <c r="JPJ5" s="146"/>
      <c r="JPK5" s="146"/>
      <c r="JPL5" s="146"/>
      <c r="JPM5" s="146"/>
      <c r="JPN5" s="146"/>
      <c r="JPO5" s="146"/>
      <c r="JPP5" s="146"/>
      <c r="JPQ5" s="146"/>
      <c r="JPR5" s="146"/>
      <c r="JPS5" s="146"/>
      <c r="JPT5" s="146"/>
      <c r="JPU5" s="146"/>
      <c r="JPV5" s="146"/>
      <c r="JPW5" s="146"/>
      <c r="JPX5" s="146"/>
      <c r="JPY5" s="146"/>
      <c r="JPZ5" s="146"/>
      <c r="JQA5" s="146"/>
      <c r="JQB5" s="146"/>
      <c r="JQC5" s="146"/>
      <c r="JQD5" s="146"/>
      <c r="JQE5" s="146"/>
      <c r="JQF5" s="146"/>
      <c r="JQG5" s="146"/>
      <c r="JQH5" s="146"/>
      <c r="JQI5" s="146"/>
      <c r="JQJ5" s="146"/>
      <c r="JQK5" s="146"/>
      <c r="JQL5" s="146"/>
      <c r="JQM5" s="146"/>
      <c r="JQN5" s="146"/>
      <c r="JQO5" s="146"/>
      <c r="JQP5" s="146"/>
      <c r="JQQ5" s="146"/>
      <c r="JQR5" s="146"/>
      <c r="JQS5" s="146"/>
      <c r="JQT5" s="146"/>
      <c r="JQU5" s="146"/>
      <c r="JQV5" s="146"/>
      <c r="JQW5" s="146"/>
      <c r="JQX5" s="146"/>
      <c r="JQY5" s="146"/>
      <c r="JQZ5" s="146"/>
      <c r="JRA5" s="146"/>
      <c r="JRB5" s="146"/>
      <c r="JRC5" s="146"/>
      <c r="JRD5" s="146"/>
      <c r="JRE5" s="146"/>
      <c r="JRF5" s="146"/>
      <c r="JRG5" s="146"/>
      <c r="JRH5" s="146"/>
      <c r="JRI5" s="146"/>
      <c r="JRJ5" s="146"/>
      <c r="JRK5" s="146"/>
      <c r="JRL5" s="146"/>
      <c r="JRM5" s="146"/>
      <c r="JRN5" s="146"/>
      <c r="JRO5" s="146"/>
      <c r="JRP5" s="146"/>
      <c r="JRQ5" s="146"/>
      <c r="JRR5" s="146"/>
      <c r="JRS5" s="146"/>
      <c r="JRT5" s="146"/>
      <c r="JRU5" s="146"/>
      <c r="JRV5" s="146"/>
      <c r="JRW5" s="146"/>
      <c r="JRX5" s="146"/>
      <c r="JRY5" s="146"/>
      <c r="JRZ5" s="146"/>
      <c r="JSA5" s="146"/>
      <c r="JSB5" s="146"/>
      <c r="JSC5" s="146"/>
      <c r="JSD5" s="146"/>
      <c r="JSE5" s="146"/>
      <c r="JSF5" s="146"/>
      <c r="JSG5" s="146"/>
      <c r="JSH5" s="146"/>
      <c r="JSI5" s="146"/>
      <c r="JSJ5" s="146"/>
      <c r="JSK5" s="146"/>
      <c r="JSL5" s="146"/>
      <c r="JSM5" s="146"/>
      <c r="JSN5" s="146"/>
      <c r="JSO5" s="146"/>
      <c r="JSP5" s="146"/>
      <c r="JSQ5" s="146"/>
      <c r="JSR5" s="146"/>
      <c r="JSS5" s="146"/>
      <c r="JST5" s="146"/>
      <c r="JSU5" s="146"/>
      <c r="JSV5" s="146"/>
      <c r="JSW5" s="146"/>
      <c r="JSX5" s="146"/>
      <c r="JSY5" s="146"/>
      <c r="JSZ5" s="146"/>
      <c r="JTA5" s="146"/>
      <c r="JTB5" s="146"/>
      <c r="JTC5" s="146"/>
      <c r="JTD5" s="146"/>
      <c r="JTE5" s="146"/>
      <c r="JTF5" s="146"/>
      <c r="JTG5" s="146"/>
      <c r="JTH5" s="146"/>
      <c r="JTI5" s="146"/>
      <c r="JTJ5" s="146"/>
      <c r="JTK5" s="146"/>
      <c r="JTL5" s="146"/>
      <c r="JTM5" s="146"/>
      <c r="JTN5" s="146"/>
      <c r="JTO5" s="146"/>
      <c r="JTP5" s="146"/>
      <c r="JTQ5" s="146"/>
      <c r="JTR5" s="146"/>
      <c r="JTS5" s="146"/>
      <c r="JTT5" s="146"/>
      <c r="JTU5" s="146"/>
      <c r="JTV5" s="146"/>
      <c r="JTW5" s="146"/>
      <c r="JTX5" s="146"/>
      <c r="JTY5" s="146"/>
      <c r="JTZ5" s="146"/>
      <c r="JUA5" s="146"/>
      <c r="JUB5" s="146"/>
      <c r="JUC5" s="146"/>
      <c r="JUD5" s="146"/>
      <c r="JUE5" s="146"/>
      <c r="JUF5" s="146"/>
      <c r="JUG5" s="146"/>
      <c r="JUH5" s="146"/>
      <c r="JUI5" s="146"/>
      <c r="JUJ5" s="146"/>
      <c r="JUK5" s="146"/>
      <c r="JUL5" s="146"/>
      <c r="JUM5" s="146"/>
      <c r="JUN5" s="146"/>
      <c r="JUO5" s="146"/>
      <c r="JUP5" s="146"/>
      <c r="JUQ5" s="146"/>
      <c r="JUR5" s="146"/>
      <c r="JUS5" s="146"/>
      <c r="JUT5" s="146"/>
      <c r="JUU5" s="146"/>
      <c r="JUV5" s="146"/>
      <c r="JUW5" s="146"/>
      <c r="JUX5" s="146"/>
      <c r="JUY5" s="146"/>
      <c r="JUZ5" s="146"/>
      <c r="JVA5" s="146"/>
      <c r="JVB5" s="146"/>
      <c r="JVC5" s="146"/>
      <c r="JVD5" s="146"/>
      <c r="JVE5" s="146"/>
      <c r="JVF5" s="146"/>
      <c r="JVG5" s="146"/>
      <c r="JVH5" s="146"/>
      <c r="JVI5" s="146"/>
      <c r="JVJ5" s="146"/>
      <c r="JVK5" s="146"/>
      <c r="JVL5" s="146"/>
      <c r="JVM5" s="146"/>
      <c r="JVN5" s="146"/>
      <c r="JVO5" s="146"/>
      <c r="JVP5" s="146"/>
      <c r="JVQ5" s="146"/>
      <c r="JVR5" s="146"/>
      <c r="JVS5" s="146"/>
      <c r="JVT5" s="146"/>
      <c r="JVU5" s="146"/>
      <c r="JVV5" s="146"/>
      <c r="JVW5" s="146"/>
      <c r="JVX5" s="146"/>
      <c r="JVY5" s="146"/>
      <c r="JVZ5" s="146"/>
      <c r="JWA5" s="146"/>
      <c r="JWB5" s="146"/>
      <c r="JWC5" s="146"/>
      <c r="JWD5" s="146"/>
      <c r="JWE5" s="146"/>
      <c r="JWF5" s="146"/>
      <c r="JWG5" s="146"/>
      <c r="JWH5" s="146"/>
      <c r="JWI5" s="146"/>
      <c r="JWJ5" s="146"/>
      <c r="JWK5" s="146"/>
      <c r="JWL5" s="146"/>
      <c r="JWM5" s="146"/>
      <c r="JWN5" s="146"/>
      <c r="JWO5" s="146"/>
      <c r="JWP5" s="146"/>
      <c r="JWQ5" s="146"/>
      <c r="JWR5" s="146"/>
      <c r="JWS5" s="146"/>
      <c r="JWT5" s="146"/>
      <c r="JWU5" s="146"/>
      <c r="JWV5" s="146"/>
      <c r="JWW5" s="146"/>
      <c r="JWX5" s="146"/>
      <c r="JWY5" s="146"/>
      <c r="JWZ5" s="146"/>
      <c r="JXA5" s="146"/>
      <c r="JXB5" s="146"/>
      <c r="JXC5" s="146"/>
      <c r="JXD5" s="146"/>
      <c r="JXE5" s="146"/>
      <c r="JXF5" s="146"/>
      <c r="JXG5" s="146"/>
      <c r="JXH5" s="146"/>
      <c r="JXI5" s="146"/>
      <c r="JXJ5" s="146"/>
      <c r="JXK5" s="146"/>
      <c r="JXL5" s="146"/>
      <c r="JXM5" s="146"/>
      <c r="JXN5" s="146"/>
      <c r="JXO5" s="146"/>
      <c r="JXP5" s="146"/>
      <c r="JXQ5" s="146"/>
      <c r="JXR5" s="146"/>
      <c r="JXS5" s="146"/>
      <c r="JXT5" s="146"/>
      <c r="JXU5" s="146"/>
      <c r="JXV5" s="146"/>
      <c r="JXW5" s="146"/>
      <c r="JXX5" s="146"/>
      <c r="JXY5" s="146"/>
      <c r="JXZ5" s="146"/>
      <c r="JYA5" s="146"/>
      <c r="JYB5" s="146"/>
      <c r="JYC5" s="146"/>
      <c r="JYD5" s="146"/>
      <c r="JYE5" s="146"/>
      <c r="JYF5" s="146"/>
      <c r="JYG5" s="146"/>
      <c r="JYH5" s="146"/>
      <c r="JYI5" s="146"/>
      <c r="JYJ5" s="146"/>
      <c r="JYK5" s="146"/>
      <c r="JYL5" s="146"/>
      <c r="JYM5" s="146"/>
      <c r="JYN5" s="146"/>
      <c r="JYO5" s="146"/>
      <c r="JYP5" s="146"/>
      <c r="JYQ5" s="146"/>
      <c r="JYR5" s="146"/>
      <c r="JYS5" s="146"/>
      <c r="JYT5" s="146"/>
      <c r="JYU5" s="146"/>
      <c r="JYV5" s="146"/>
      <c r="JYW5" s="146"/>
      <c r="JYX5" s="146"/>
      <c r="JYY5" s="146"/>
      <c r="JYZ5" s="146"/>
      <c r="JZA5" s="146"/>
      <c r="JZB5" s="146"/>
      <c r="JZC5" s="146"/>
      <c r="JZD5" s="146"/>
      <c r="JZE5" s="146"/>
      <c r="JZF5" s="146"/>
      <c r="JZG5" s="146"/>
      <c r="JZH5" s="146"/>
      <c r="JZI5" s="146"/>
      <c r="JZJ5" s="146"/>
      <c r="JZK5" s="146"/>
      <c r="JZL5" s="146"/>
      <c r="JZM5" s="146"/>
      <c r="JZN5" s="146"/>
      <c r="JZO5" s="146"/>
      <c r="JZP5" s="146"/>
      <c r="JZQ5" s="146"/>
      <c r="JZR5" s="146"/>
      <c r="JZS5" s="146"/>
      <c r="JZT5" s="146"/>
      <c r="JZU5" s="146"/>
      <c r="JZV5" s="146"/>
      <c r="JZW5" s="146"/>
      <c r="JZX5" s="146"/>
      <c r="JZY5" s="146"/>
      <c r="JZZ5" s="146"/>
      <c r="KAA5" s="146"/>
      <c r="KAB5" s="146"/>
      <c r="KAC5" s="146"/>
      <c r="KAD5" s="146"/>
      <c r="KAE5" s="146"/>
      <c r="KAF5" s="146"/>
      <c r="KAG5" s="146"/>
      <c r="KAH5" s="146"/>
      <c r="KAI5" s="146"/>
      <c r="KAJ5" s="146"/>
      <c r="KAK5" s="146"/>
      <c r="KAL5" s="146"/>
      <c r="KAM5" s="146"/>
      <c r="KAN5" s="146"/>
      <c r="KAO5" s="146"/>
      <c r="KAP5" s="146"/>
      <c r="KAQ5" s="146"/>
      <c r="KAR5" s="146"/>
      <c r="KAS5" s="146"/>
      <c r="KAT5" s="146"/>
      <c r="KAU5" s="146"/>
      <c r="KAV5" s="146"/>
      <c r="KAW5" s="146"/>
      <c r="KAX5" s="146"/>
      <c r="KAY5" s="146"/>
      <c r="KAZ5" s="146"/>
      <c r="KBA5" s="146"/>
      <c r="KBB5" s="146"/>
      <c r="KBC5" s="146"/>
      <c r="KBD5" s="146"/>
      <c r="KBE5" s="146"/>
      <c r="KBF5" s="146"/>
      <c r="KBG5" s="146"/>
      <c r="KBH5" s="146"/>
      <c r="KBI5" s="146"/>
      <c r="KBJ5" s="146"/>
      <c r="KBK5" s="146"/>
      <c r="KBL5" s="146"/>
      <c r="KBM5" s="146"/>
      <c r="KBN5" s="146"/>
      <c r="KBO5" s="146"/>
      <c r="KBP5" s="146"/>
      <c r="KBQ5" s="146"/>
      <c r="KBR5" s="146"/>
      <c r="KBS5" s="146"/>
      <c r="KBT5" s="146"/>
      <c r="KBU5" s="146"/>
      <c r="KBV5" s="146"/>
      <c r="KBW5" s="146"/>
      <c r="KBX5" s="146"/>
      <c r="KBY5" s="146"/>
      <c r="KBZ5" s="146"/>
      <c r="KCA5" s="146"/>
      <c r="KCB5" s="146"/>
      <c r="KCC5" s="146"/>
      <c r="KCD5" s="146"/>
      <c r="KCE5" s="146"/>
      <c r="KCF5" s="146"/>
      <c r="KCG5" s="146"/>
      <c r="KCH5" s="146"/>
      <c r="KCI5" s="146"/>
      <c r="KCJ5" s="146"/>
      <c r="KCK5" s="146"/>
      <c r="KCL5" s="146"/>
      <c r="KCM5" s="146"/>
      <c r="KCN5" s="146"/>
      <c r="KCO5" s="146"/>
      <c r="KCP5" s="146"/>
      <c r="KCQ5" s="146"/>
      <c r="KCR5" s="146"/>
      <c r="KCS5" s="146"/>
      <c r="KCT5" s="146"/>
      <c r="KCU5" s="146"/>
      <c r="KCV5" s="146"/>
      <c r="KCW5" s="146"/>
      <c r="KCX5" s="146"/>
      <c r="KCY5" s="146"/>
      <c r="KCZ5" s="146"/>
      <c r="KDA5" s="146"/>
      <c r="KDB5" s="146"/>
      <c r="KDC5" s="146"/>
      <c r="KDD5" s="146"/>
      <c r="KDE5" s="146"/>
      <c r="KDF5" s="146"/>
      <c r="KDG5" s="146"/>
      <c r="KDH5" s="146"/>
      <c r="KDI5" s="146"/>
      <c r="KDJ5" s="146"/>
      <c r="KDK5" s="146"/>
      <c r="KDL5" s="146"/>
      <c r="KDM5" s="146"/>
      <c r="KDN5" s="146"/>
      <c r="KDO5" s="146"/>
      <c r="KDP5" s="146"/>
      <c r="KDQ5" s="146"/>
      <c r="KDR5" s="146"/>
      <c r="KDS5" s="146"/>
      <c r="KDT5" s="146"/>
      <c r="KDU5" s="146"/>
      <c r="KDV5" s="146"/>
      <c r="KDW5" s="146"/>
      <c r="KDX5" s="146"/>
      <c r="KDY5" s="146"/>
      <c r="KDZ5" s="146"/>
      <c r="KEA5" s="146"/>
      <c r="KEB5" s="146"/>
      <c r="KEC5" s="146"/>
      <c r="KED5" s="146"/>
      <c r="KEE5" s="146"/>
      <c r="KEF5" s="146"/>
      <c r="KEG5" s="146"/>
      <c r="KEH5" s="146"/>
      <c r="KEI5" s="146"/>
      <c r="KEJ5" s="146"/>
      <c r="KEK5" s="146"/>
      <c r="KEL5" s="146"/>
      <c r="KEM5" s="146"/>
      <c r="KEN5" s="146"/>
      <c r="KEO5" s="146"/>
      <c r="KEP5" s="146"/>
      <c r="KEQ5" s="146"/>
      <c r="KER5" s="146"/>
      <c r="KES5" s="146"/>
      <c r="KET5" s="146"/>
      <c r="KEU5" s="146"/>
      <c r="KEV5" s="146"/>
      <c r="KEW5" s="146"/>
      <c r="KEX5" s="146"/>
      <c r="KEY5" s="146"/>
      <c r="KEZ5" s="146"/>
      <c r="KFA5" s="146"/>
      <c r="KFB5" s="146"/>
      <c r="KFC5" s="146"/>
      <c r="KFD5" s="146"/>
      <c r="KFE5" s="146"/>
      <c r="KFF5" s="146"/>
      <c r="KFG5" s="146"/>
      <c r="KFH5" s="146"/>
      <c r="KFI5" s="146"/>
      <c r="KFJ5" s="146"/>
      <c r="KFK5" s="146"/>
      <c r="KFL5" s="146"/>
      <c r="KFM5" s="146"/>
      <c r="KFN5" s="146"/>
      <c r="KFO5" s="146"/>
      <c r="KFP5" s="146"/>
      <c r="KFQ5" s="146"/>
      <c r="KFR5" s="146"/>
      <c r="KFS5" s="146"/>
      <c r="KFT5" s="146"/>
      <c r="KFU5" s="146"/>
      <c r="KFV5" s="146"/>
      <c r="KFW5" s="146"/>
      <c r="KFX5" s="146"/>
      <c r="KFY5" s="146"/>
      <c r="KFZ5" s="146"/>
      <c r="KGA5" s="146"/>
      <c r="KGB5" s="146"/>
      <c r="KGC5" s="146"/>
      <c r="KGD5" s="146"/>
      <c r="KGE5" s="146"/>
      <c r="KGF5" s="146"/>
      <c r="KGG5" s="146"/>
      <c r="KGH5" s="146"/>
      <c r="KGI5" s="146"/>
      <c r="KGJ5" s="146"/>
      <c r="KGK5" s="146"/>
      <c r="KGL5" s="146"/>
      <c r="KGM5" s="146"/>
      <c r="KGN5" s="146"/>
      <c r="KGO5" s="146"/>
      <c r="KGP5" s="146"/>
      <c r="KGQ5" s="146"/>
      <c r="KGR5" s="146"/>
      <c r="KGS5" s="146"/>
      <c r="KGT5" s="146"/>
      <c r="KGU5" s="146"/>
      <c r="KGV5" s="146"/>
      <c r="KGW5" s="146"/>
      <c r="KGX5" s="146"/>
      <c r="KGY5" s="146"/>
      <c r="KGZ5" s="146"/>
      <c r="KHA5" s="146"/>
      <c r="KHB5" s="146"/>
      <c r="KHC5" s="146"/>
      <c r="KHD5" s="146"/>
      <c r="KHE5" s="146"/>
      <c r="KHF5" s="146"/>
      <c r="KHG5" s="146"/>
      <c r="KHH5" s="146"/>
      <c r="KHI5" s="146"/>
      <c r="KHJ5" s="146"/>
      <c r="KHK5" s="146"/>
      <c r="KHL5" s="146"/>
      <c r="KHM5" s="146"/>
      <c r="KHN5" s="146"/>
      <c r="KHO5" s="146"/>
      <c r="KHP5" s="146"/>
      <c r="KHQ5" s="146"/>
      <c r="KHR5" s="146"/>
      <c r="KHS5" s="146"/>
      <c r="KHT5" s="146"/>
      <c r="KHU5" s="146"/>
      <c r="KHV5" s="146"/>
      <c r="KHW5" s="146"/>
      <c r="KHX5" s="146"/>
      <c r="KHY5" s="146"/>
      <c r="KHZ5" s="146"/>
      <c r="KIA5" s="146"/>
      <c r="KIB5" s="146"/>
      <c r="KIC5" s="146"/>
      <c r="KID5" s="146"/>
      <c r="KIE5" s="146"/>
      <c r="KIF5" s="146"/>
      <c r="KIG5" s="146"/>
      <c r="KIH5" s="146"/>
      <c r="KII5" s="146"/>
      <c r="KIJ5" s="146"/>
      <c r="KIK5" s="146"/>
      <c r="KIL5" s="146"/>
      <c r="KIM5" s="146"/>
      <c r="KIN5" s="146"/>
      <c r="KIO5" s="146"/>
      <c r="KIP5" s="146"/>
      <c r="KIQ5" s="146"/>
      <c r="KIR5" s="146"/>
      <c r="KIS5" s="146"/>
      <c r="KIT5" s="146"/>
      <c r="KIU5" s="146"/>
      <c r="KIV5" s="146"/>
      <c r="KIW5" s="146"/>
      <c r="KIX5" s="146"/>
      <c r="KIY5" s="146"/>
      <c r="KIZ5" s="146"/>
      <c r="KJA5" s="146"/>
      <c r="KJB5" s="146"/>
      <c r="KJC5" s="146"/>
      <c r="KJD5" s="146"/>
      <c r="KJE5" s="146"/>
      <c r="KJF5" s="146"/>
      <c r="KJG5" s="146"/>
      <c r="KJH5" s="146"/>
      <c r="KJI5" s="146"/>
      <c r="KJJ5" s="146"/>
      <c r="KJK5" s="146"/>
      <c r="KJL5" s="146"/>
      <c r="KJM5" s="146"/>
      <c r="KJN5" s="146"/>
      <c r="KJO5" s="146"/>
      <c r="KJP5" s="146"/>
      <c r="KJQ5" s="146"/>
      <c r="KJR5" s="146"/>
      <c r="KJS5" s="146"/>
      <c r="KJT5" s="146"/>
      <c r="KJU5" s="146"/>
      <c r="KJV5" s="146"/>
      <c r="KJW5" s="146"/>
      <c r="KJX5" s="146"/>
      <c r="KJY5" s="146"/>
      <c r="KJZ5" s="146"/>
      <c r="KKA5" s="146"/>
      <c r="KKB5" s="146"/>
      <c r="KKC5" s="146"/>
      <c r="KKD5" s="146"/>
      <c r="KKE5" s="146"/>
      <c r="KKF5" s="146"/>
      <c r="KKG5" s="146"/>
      <c r="KKH5" s="146"/>
      <c r="KKI5" s="146"/>
      <c r="KKJ5" s="146"/>
      <c r="KKK5" s="146"/>
      <c r="KKL5" s="146"/>
      <c r="KKM5" s="146"/>
      <c r="KKN5" s="146"/>
      <c r="KKO5" s="146"/>
      <c r="KKP5" s="146"/>
      <c r="KKQ5" s="146"/>
      <c r="KKR5" s="146"/>
      <c r="KKS5" s="146"/>
      <c r="KKT5" s="146"/>
      <c r="KKU5" s="146"/>
      <c r="KKV5" s="146"/>
      <c r="KKW5" s="146"/>
      <c r="KKX5" s="146"/>
      <c r="KKY5" s="146"/>
      <c r="KKZ5" s="146"/>
      <c r="KLA5" s="146"/>
      <c r="KLB5" s="146"/>
      <c r="KLC5" s="146"/>
      <c r="KLD5" s="146"/>
      <c r="KLE5" s="146"/>
      <c r="KLF5" s="146"/>
      <c r="KLG5" s="146"/>
      <c r="KLH5" s="146"/>
      <c r="KLI5" s="146"/>
      <c r="KLJ5" s="146"/>
      <c r="KLK5" s="146"/>
      <c r="KLL5" s="146"/>
      <c r="KLM5" s="146"/>
      <c r="KLN5" s="146"/>
      <c r="KLO5" s="146"/>
      <c r="KLP5" s="146"/>
      <c r="KLQ5" s="146"/>
      <c r="KLR5" s="146"/>
      <c r="KLS5" s="146"/>
      <c r="KLT5" s="146"/>
      <c r="KLU5" s="146"/>
      <c r="KLV5" s="146"/>
      <c r="KLW5" s="146"/>
      <c r="KLX5" s="146"/>
      <c r="KLY5" s="146"/>
      <c r="KLZ5" s="146"/>
      <c r="KMA5" s="146"/>
      <c r="KMB5" s="146"/>
      <c r="KMC5" s="146"/>
      <c r="KMD5" s="146"/>
      <c r="KME5" s="146"/>
      <c r="KMF5" s="146"/>
      <c r="KMG5" s="146"/>
      <c r="KMH5" s="146"/>
      <c r="KMI5" s="146"/>
      <c r="KMJ5" s="146"/>
      <c r="KMK5" s="146"/>
      <c r="KML5" s="146"/>
      <c r="KMM5" s="146"/>
      <c r="KMN5" s="146"/>
      <c r="KMO5" s="146"/>
      <c r="KMP5" s="146"/>
      <c r="KMQ5" s="146"/>
      <c r="KMR5" s="146"/>
      <c r="KMS5" s="146"/>
      <c r="KMT5" s="146"/>
      <c r="KMU5" s="146"/>
      <c r="KMV5" s="146"/>
      <c r="KMW5" s="146"/>
      <c r="KMX5" s="146"/>
      <c r="KMY5" s="146"/>
      <c r="KMZ5" s="146"/>
      <c r="KNA5" s="146"/>
      <c r="KNB5" s="146"/>
      <c r="KNC5" s="146"/>
      <c r="KND5" s="146"/>
      <c r="KNE5" s="146"/>
      <c r="KNF5" s="146"/>
      <c r="KNG5" s="146"/>
      <c r="KNH5" s="146"/>
      <c r="KNI5" s="146"/>
      <c r="KNJ5" s="146"/>
      <c r="KNK5" s="146"/>
      <c r="KNL5" s="146"/>
      <c r="KNM5" s="146"/>
      <c r="KNN5" s="146"/>
      <c r="KNO5" s="146"/>
      <c r="KNP5" s="146"/>
      <c r="KNQ5" s="146"/>
      <c r="KNR5" s="146"/>
      <c r="KNS5" s="146"/>
      <c r="KNT5" s="146"/>
      <c r="KNU5" s="146"/>
      <c r="KNV5" s="146"/>
      <c r="KNW5" s="146"/>
      <c r="KNX5" s="146"/>
      <c r="KNY5" s="146"/>
      <c r="KNZ5" s="146"/>
      <c r="KOA5" s="146"/>
      <c r="KOB5" s="146"/>
      <c r="KOC5" s="146"/>
      <c r="KOD5" s="146"/>
      <c r="KOE5" s="146"/>
      <c r="KOF5" s="146"/>
      <c r="KOG5" s="146"/>
      <c r="KOH5" s="146"/>
      <c r="KOI5" s="146"/>
      <c r="KOJ5" s="146"/>
      <c r="KOK5" s="146"/>
      <c r="KOL5" s="146"/>
      <c r="KOM5" s="146"/>
      <c r="KON5" s="146"/>
      <c r="KOO5" s="146"/>
      <c r="KOP5" s="146"/>
      <c r="KOQ5" s="146"/>
      <c r="KOR5" s="146"/>
      <c r="KOS5" s="146"/>
      <c r="KOT5" s="146"/>
      <c r="KOU5" s="146"/>
      <c r="KOV5" s="146"/>
      <c r="KOW5" s="146"/>
      <c r="KOX5" s="146"/>
      <c r="KOY5" s="146"/>
      <c r="KOZ5" s="146"/>
      <c r="KPA5" s="146"/>
      <c r="KPB5" s="146"/>
      <c r="KPC5" s="146"/>
      <c r="KPD5" s="146"/>
      <c r="KPE5" s="146"/>
      <c r="KPF5" s="146"/>
      <c r="KPG5" s="146"/>
      <c r="KPH5" s="146"/>
      <c r="KPI5" s="146"/>
      <c r="KPJ5" s="146"/>
      <c r="KPK5" s="146"/>
      <c r="KPL5" s="146"/>
      <c r="KPM5" s="146"/>
      <c r="KPN5" s="146"/>
      <c r="KPO5" s="146"/>
      <c r="KPP5" s="146"/>
      <c r="KPQ5" s="146"/>
      <c r="KPR5" s="146"/>
      <c r="KPS5" s="146"/>
      <c r="KPT5" s="146"/>
      <c r="KPU5" s="146"/>
      <c r="KPV5" s="146"/>
      <c r="KPW5" s="146"/>
      <c r="KPX5" s="146"/>
      <c r="KPY5" s="146"/>
      <c r="KPZ5" s="146"/>
      <c r="KQA5" s="146"/>
      <c r="KQB5" s="146"/>
      <c r="KQC5" s="146"/>
      <c r="KQD5" s="146"/>
      <c r="KQE5" s="146"/>
      <c r="KQF5" s="146"/>
      <c r="KQG5" s="146"/>
      <c r="KQH5" s="146"/>
      <c r="KQI5" s="146"/>
      <c r="KQJ5" s="146"/>
      <c r="KQK5" s="146"/>
      <c r="KQL5" s="146"/>
      <c r="KQM5" s="146"/>
      <c r="KQN5" s="146"/>
      <c r="KQO5" s="146"/>
      <c r="KQP5" s="146"/>
      <c r="KQQ5" s="146"/>
      <c r="KQR5" s="146"/>
      <c r="KQS5" s="146"/>
      <c r="KQT5" s="146"/>
      <c r="KQU5" s="146"/>
      <c r="KQV5" s="146"/>
      <c r="KQW5" s="146"/>
      <c r="KQX5" s="146"/>
      <c r="KQY5" s="146"/>
      <c r="KQZ5" s="146"/>
      <c r="KRA5" s="146"/>
      <c r="KRB5" s="146"/>
      <c r="KRC5" s="146"/>
      <c r="KRD5" s="146"/>
      <c r="KRE5" s="146"/>
      <c r="KRF5" s="146"/>
      <c r="KRG5" s="146"/>
      <c r="KRH5" s="146"/>
      <c r="KRI5" s="146"/>
      <c r="KRJ5" s="146"/>
      <c r="KRK5" s="146"/>
      <c r="KRL5" s="146"/>
      <c r="KRM5" s="146"/>
      <c r="KRN5" s="146"/>
      <c r="KRO5" s="146"/>
      <c r="KRP5" s="146"/>
      <c r="KRQ5" s="146"/>
      <c r="KRR5" s="146"/>
      <c r="KRS5" s="146"/>
      <c r="KRT5" s="146"/>
      <c r="KRU5" s="146"/>
      <c r="KRV5" s="146"/>
      <c r="KRW5" s="146"/>
      <c r="KRX5" s="146"/>
      <c r="KRY5" s="146"/>
      <c r="KRZ5" s="146"/>
      <c r="KSA5" s="146"/>
      <c r="KSB5" s="146"/>
      <c r="KSC5" s="146"/>
      <c r="KSD5" s="146"/>
      <c r="KSE5" s="146"/>
      <c r="KSF5" s="146"/>
      <c r="KSG5" s="146"/>
      <c r="KSH5" s="146"/>
      <c r="KSI5" s="146"/>
      <c r="KSJ5" s="146"/>
      <c r="KSK5" s="146"/>
      <c r="KSL5" s="146"/>
      <c r="KSM5" s="146"/>
      <c r="KSN5" s="146"/>
      <c r="KSO5" s="146"/>
      <c r="KSP5" s="146"/>
      <c r="KSQ5" s="146"/>
      <c r="KSR5" s="146"/>
      <c r="KSS5" s="146"/>
      <c r="KST5" s="146"/>
      <c r="KSU5" s="146"/>
      <c r="KSV5" s="146"/>
      <c r="KSW5" s="146"/>
      <c r="KSX5" s="146"/>
      <c r="KSY5" s="146"/>
      <c r="KSZ5" s="146"/>
      <c r="KTA5" s="146"/>
      <c r="KTB5" s="146"/>
      <c r="KTC5" s="146"/>
      <c r="KTD5" s="146"/>
      <c r="KTE5" s="146"/>
      <c r="KTF5" s="146"/>
      <c r="KTG5" s="146"/>
      <c r="KTH5" s="146"/>
      <c r="KTI5" s="146"/>
      <c r="KTJ5" s="146"/>
      <c r="KTK5" s="146"/>
      <c r="KTL5" s="146"/>
      <c r="KTM5" s="146"/>
      <c r="KTN5" s="146"/>
      <c r="KTO5" s="146"/>
      <c r="KTP5" s="146"/>
      <c r="KTQ5" s="146"/>
      <c r="KTR5" s="146"/>
      <c r="KTS5" s="146"/>
      <c r="KTT5" s="146"/>
      <c r="KTU5" s="146"/>
      <c r="KTV5" s="146"/>
      <c r="KTW5" s="146"/>
      <c r="KTX5" s="146"/>
      <c r="KTY5" s="146"/>
      <c r="KTZ5" s="146"/>
      <c r="KUA5" s="146"/>
      <c r="KUB5" s="146"/>
      <c r="KUC5" s="146"/>
      <c r="KUD5" s="146"/>
      <c r="KUE5" s="146"/>
      <c r="KUF5" s="146"/>
      <c r="KUG5" s="146"/>
      <c r="KUH5" s="146"/>
      <c r="KUI5" s="146"/>
      <c r="KUJ5" s="146"/>
      <c r="KUK5" s="146"/>
      <c r="KUL5" s="146"/>
      <c r="KUM5" s="146"/>
      <c r="KUN5" s="146"/>
      <c r="KUO5" s="146"/>
      <c r="KUP5" s="146"/>
      <c r="KUQ5" s="146"/>
      <c r="KUR5" s="146"/>
      <c r="KUS5" s="146"/>
      <c r="KUT5" s="146"/>
      <c r="KUU5" s="146"/>
      <c r="KUV5" s="146"/>
      <c r="KUW5" s="146"/>
      <c r="KUX5" s="146"/>
      <c r="KUY5" s="146"/>
      <c r="KUZ5" s="146"/>
      <c r="KVA5" s="146"/>
      <c r="KVB5" s="146"/>
      <c r="KVC5" s="146"/>
      <c r="KVD5" s="146"/>
      <c r="KVE5" s="146"/>
      <c r="KVF5" s="146"/>
      <c r="KVG5" s="146"/>
      <c r="KVH5" s="146"/>
      <c r="KVI5" s="146"/>
      <c r="KVJ5" s="146"/>
      <c r="KVK5" s="146"/>
      <c r="KVL5" s="146"/>
      <c r="KVM5" s="146"/>
      <c r="KVN5" s="146"/>
      <c r="KVO5" s="146"/>
      <c r="KVP5" s="146"/>
      <c r="KVQ5" s="146"/>
      <c r="KVR5" s="146"/>
      <c r="KVS5" s="146"/>
      <c r="KVT5" s="146"/>
      <c r="KVU5" s="146"/>
      <c r="KVV5" s="146"/>
      <c r="KVW5" s="146"/>
      <c r="KVX5" s="146"/>
      <c r="KVY5" s="146"/>
      <c r="KVZ5" s="146"/>
      <c r="KWA5" s="146"/>
      <c r="KWB5" s="146"/>
      <c r="KWC5" s="146"/>
      <c r="KWD5" s="146"/>
      <c r="KWE5" s="146"/>
      <c r="KWF5" s="146"/>
      <c r="KWG5" s="146"/>
      <c r="KWH5" s="146"/>
      <c r="KWI5" s="146"/>
      <c r="KWJ5" s="146"/>
      <c r="KWK5" s="146"/>
      <c r="KWL5" s="146"/>
      <c r="KWM5" s="146"/>
      <c r="KWN5" s="146"/>
      <c r="KWO5" s="146"/>
      <c r="KWP5" s="146"/>
      <c r="KWQ5" s="146"/>
      <c r="KWR5" s="146"/>
      <c r="KWS5" s="146"/>
      <c r="KWT5" s="146"/>
      <c r="KWU5" s="146"/>
      <c r="KWV5" s="146"/>
      <c r="KWW5" s="146"/>
      <c r="KWX5" s="146"/>
      <c r="KWY5" s="146"/>
      <c r="KWZ5" s="146"/>
      <c r="KXA5" s="146"/>
      <c r="KXB5" s="146"/>
      <c r="KXC5" s="146"/>
      <c r="KXD5" s="146"/>
      <c r="KXE5" s="146"/>
      <c r="KXF5" s="146"/>
      <c r="KXG5" s="146"/>
      <c r="KXH5" s="146"/>
      <c r="KXI5" s="146"/>
      <c r="KXJ5" s="146"/>
      <c r="KXK5" s="146"/>
      <c r="KXL5" s="146"/>
      <c r="KXM5" s="146"/>
      <c r="KXN5" s="146"/>
      <c r="KXO5" s="146"/>
      <c r="KXP5" s="146"/>
      <c r="KXQ5" s="146"/>
      <c r="KXR5" s="146"/>
      <c r="KXS5" s="146"/>
      <c r="KXT5" s="146"/>
      <c r="KXU5" s="146"/>
      <c r="KXV5" s="146"/>
      <c r="KXW5" s="146"/>
      <c r="KXX5" s="146"/>
      <c r="KXY5" s="146"/>
      <c r="KXZ5" s="146"/>
      <c r="KYA5" s="146"/>
      <c r="KYB5" s="146"/>
      <c r="KYC5" s="146"/>
      <c r="KYD5" s="146"/>
      <c r="KYE5" s="146"/>
      <c r="KYF5" s="146"/>
      <c r="KYG5" s="146"/>
      <c r="KYH5" s="146"/>
      <c r="KYI5" s="146"/>
      <c r="KYJ5" s="146"/>
      <c r="KYK5" s="146"/>
      <c r="KYL5" s="146"/>
      <c r="KYM5" s="146"/>
      <c r="KYN5" s="146"/>
      <c r="KYO5" s="146"/>
      <c r="KYP5" s="146"/>
      <c r="KYQ5" s="146"/>
      <c r="KYR5" s="146"/>
      <c r="KYS5" s="146"/>
      <c r="KYT5" s="146"/>
      <c r="KYU5" s="146"/>
      <c r="KYV5" s="146"/>
      <c r="KYW5" s="146"/>
      <c r="KYX5" s="146"/>
      <c r="KYY5" s="146"/>
      <c r="KYZ5" s="146"/>
      <c r="KZA5" s="146"/>
      <c r="KZB5" s="146"/>
      <c r="KZC5" s="146"/>
      <c r="KZD5" s="146"/>
      <c r="KZE5" s="146"/>
      <c r="KZF5" s="146"/>
      <c r="KZG5" s="146"/>
      <c r="KZH5" s="146"/>
      <c r="KZI5" s="146"/>
      <c r="KZJ5" s="146"/>
      <c r="KZK5" s="146"/>
      <c r="KZL5" s="146"/>
      <c r="KZM5" s="146"/>
      <c r="KZN5" s="146"/>
      <c r="KZO5" s="146"/>
      <c r="KZP5" s="146"/>
      <c r="KZQ5" s="146"/>
      <c r="KZR5" s="146"/>
      <c r="KZS5" s="146"/>
      <c r="KZT5" s="146"/>
      <c r="KZU5" s="146"/>
      <c r="KZV5" s="146"/>
      <c r="KZW5" s="146"/>
      <c r="KZX5" s="146"/>
      <c r="KZY5" s="146"/>
      <c r="KZZ5" s="146"/>
      <c r="LAA5" s="146"/>
      <c r="LAB5" s="146"/>
      <c r="LAC5" s="146"/>
      <c r="LAD5" s="146"/>
      <c r="LAE5" s="146"/>
      <c r="LAF5" s="146"/>
      <c r="LAG5" s="146"/>
      <c r="LAH5" s="146"/>
      <c r="LAI5" s="146"/>
      <c r="LAJ5" s="146"/>
      <c r="LAK5" s="146"/>
      <c r="LAL5" s="146"/>
      <c r="LAM5" s="146"/>
      <c r="LAN5" s="146"/>
      <c r="LAO5" s="146"/>
      <c r="LAP5" s="146"/>
      <c r="LAQ5" s="146"/>
      <c r="LAR5" s="146"/>
      <c r="LAS5" s="146"/>
      <c r="LAT5" s="146"/>
      <c r="LAU5" s="146"/>
      <c r="LAV5" s="146"/>
      <c r="LAW5" s="146"/>
      <c r="LAX5" s="146"/>
      <c r="LAY5" s="146"/>
      <c r="LAZ5" s="146"/>
      <c r="LBA5" s="146"/>
      <c r="LBB5" s="146"/>
      <c r="LBC5" s="146"/>
      <c r="LBD5" s="146"/>
      <c r="LBE5" s="146"/>
      <c r="LBF5" s="146"/>
      <c r="LBG5" s="146"/>
      <c r="LBH5" s="146"/>
      <c r="LBI5" s="146"/>
      <c r="LBJ5" s="146"/>
      <c r="LBK5" s="146"/>
      <c r="LBL5" s="146"/>
      <c r="LBM5" s="146"/>
      <c r="LBN5" s="146"/>
      <c r="LBO5" s="146"/>
      <c r="LBP5" s="146"/>
      <c r="LBQ5" s="146"/>
      <c r="LBR5" s="146"/>
      <c r="LBS5" s="146"/>
      <c r="LBT5" s="146"/>
      <c r="LBU5" s="146"/>
      <c r="LBV5" s="146"/>
      <c r="LBW5" s="146"/>
      <c r="LBX5" s="146"/>
      <c r="LBY5" s="146"/>
      <c r="LBZ5" s="146"/>
      <c r="LCA5" s="146"/>
      <c r="LCB5" s="146"/>
      <c r="LCC5" s="146"/>
      <c r="LCD5" s="146"/>
      <c r="LCE5" s="146"/>
      <c r="LCF5" s="146"/>
      <c r="LCG5" s="146"/>
      <c r="LCH5" s="146"/>
      <c r="LCI5" s="146"/>
      <c r="LCJ5" s="146"/>
      <c r="LCK5" s="146"/>
      <c r="LCL5" s="146"/>
      <c r="LCM5" s="146"/>
      <c r="LCN5" s="146"/>
      <c r="LCO5" s="146"/>
      <c r="LCP5" s="146"/>
      <c r="LCQ5" s="146"/>
      <c r="LCR5" s="146"/>
      <c r="LCS5" s="146"/>
      <c r="LCT5" s="146"/>
      <c r="LCU5" s="146"/>
      <c r="LCV5" s="146"/>
      <c r="LCW5" s="146"/>
      <c r="LCX5" s="146"/>
      <c r="LCY5" s="146"/>
      <c r="LCZ5" s="146"/>
      <c r="LDA5" s="146"/>
      <c r="LDB5" s="146"/>
      <c r="LDC5" s="146"/>
      <c r="LDD5" s="146"/>
      <c r="LDE5" s="146"/>
      <c r="LDF5" s="146"/>
      <c r="LDG5" s="146"/>
      <c r="LDH5" s="146"/>
      <c r="LDI5" s="146"/>
      <c r="LDJ5" s="146"/>
      <c r="LDK5" s="146"/>
      <c r="LDL5" s="146"/>
      <c r="LDM5" s="146"/>
      <c r="LDN5" s="146"/>
      <c r="LDO5" s="146"/>
      <c r="LDP5" s="146"/>
      <c r="LDQ5" s="146"/>
      <c r="LDR5" s="146"/>
      <c r="LDS5" s="146"/>
      <c r="LDT5" s="146"/>
      <c r="LDU5" s="146"/>
      <c r="LDV5" s="146"/>
      <c r="LDW5" s="146"/>
      <c r="LDX5" s="146"/>
      <c r="LDY5" s="146"/>
      <c r="LDZ5" s="146"/>
      <c r="LEA5" s="146"/>
      <c r="LEB5" s="146"/>
      <c r="LEC5" s="146"/>
      <c r="LED5" s="146"/>
      <c r="LEE5" s="146"/>
      <c r="LEF5" s="146"/>
      <c r="LEG5" s="146"/>
      <c r="LEH5" s="146"/>
      <c r="LEI5" s="146"/>
      <c r="LEJ5" s="146"/>
      <c r="LEK5" s="146"/>
      <c r="LEL5" s="146"/>
      <c r="LEM5" s="146"/>
      <c r="LEN5" s="146"/>
      <c r="LEO5" s="146"/>
      <c r="LEP5" s="146"/>
      <c r="LEQ5" s="146"/>
      <c r="LER5" s="146"/>
      <c r="LES5" s="146"/>
      <c r="LET5" s="146"/>
      <c r="LEU5" s="146"/>
      <c r="LEV5" s="146"/>
      <c r="LEW5" s="146"/>
      <c r="LEX5" s="146"/>
      <c r="LEY5" s="146"/>
      <c r="LEZ5" s="146"/>
      <c r="LFA5" s="146"/>
      <c r="LFB5" s="146"/>
      <c r="LFC5" s="146"/>
      <c r="LFD5" s="146"/>
      <c r="LFE5" s="146"/>
      <c r="LFF5" s="146"/>
      <c r="LFG5" s="146"/>
      <c r="LFH5" s="146"/>
      <c r="LFI5" s="146"/>
      <c r="LFJ5" s="146"/>
      <c r="LFK5" s="146"/>
      <c r="LFL5" s="146"/>
      <c r="LFM5" s="146"/>
      <c r="LFN5" s="146"/>
      <c r="LFO5" s="146"/>
      <c r="LFP5" s="146"/>
      <c r="LFQ5" s="146"/>
      <c r="LFR5" s="146"/>
      <c r="LFS5" s="146"/>
      <c r="LFT5" s="146"/>
      <c r="LFU5" s="146"/>
      <c r="LFV5" s="146"/>
      <c r="LFW5" s="146"/>
      <c r="LFX5" s="146"/>
      <c r="LFY5" s="146"/>
      <c r="LFZ5" s="146"/>
      <c r="LGA5" s="146"/>
      <c r="LGB5" s="146"/>
      <c r="LGC5" s="146"/>
      <c r="LGD5" s="146"/>
      <c r="LGE5" s="146"/>
      <c r="LGF5" s="146"/>
      <c r="LGG5" s="146"/>
      <c r="LGH5" s="146"/>
      <c r="LGI5" s="146"/>
      <c r="LGJ5" s="146"/>
      <c r="LGK5" s="146"/>
      <c r="LGL5" s="146"/>
      <c r="LGM5" s="146"/>
      <c r="LGN5" s="146"/>
      <c r="LGO5" s="146"/>
      <c r="LGP5" s="146"/>
      <c r="LGQ5" s="146"/>
      <c r="LGR5" s="146"/>
      <c r="LGS5" s="146"/>
      <c r="LGT5" s="146"/>
      <c r="LGU5" s="146"/>
      <c r="LGV5" s="146"/>
      <c r="LGW5" s="146"/>
      <c r="LGX5" s="146"/>
      <c r="LGY5" s="146"/>
      <c r="LGZ5" s="146"/>
      <c r="LHA5" s="146"/>
      <c r="LHB5" s="146"/>
      <c r="LHC5" s="146"/>
      <c r="LHD5" s="146"/>
      <c r="LHE5" s="146"/>
      <c r="LHF5" s="146"/>
      <c r="LHG5" s="146"/>
      <c r="LHH5" s="146"/>
      <c r="LHI5" s="146"/>
      <c r="LHJ5" s="146"/>
      <c r="LHK5" s="146"/>
      <c r="LHL5" s="146"/>
      <c r="LHM5" s="146"/>
      <c r="LHN5" s="146"/>
      <c r="LHO5" s="146"/>
      <c r="LHP5" s="146"/>
      <c r="LHQ5" s="146"/>
      <c r="LHR5" s="146"/>
      <c r="LHS5" s="146"/>
      <c r="LHT5" s="146"/>
      <c r="LHU5" s="146"/>
      <c r="LHV5" s="146"/>
      <c r="LHW5" s="146"/>
      <c r="LHX5" s="146"/>
      <c r="LHY5" s="146"/>
      <c r="LHZ5" s="146"/>
      <c r="LIA5" s="146"/>
      <c r="LIB5" s="146"/>
      <c r="LIC5" s="146"/>
      <c r="LID5" s="146"/>
      <c r="LIE5" s="146"/>
      <c r="LIF5" s="146"/>
      <c r="LIG5" s="146"/>
      <c r="LIH5" s="146"/>
      <c r="LII5" s="146"/>
      <c r="LIJ5" s="146"/>
      <c r="LIK5" s="146"/>
      <c r="LIL5" s="146"/>
      <c r="LIM5" s="146"/>
      <c r="LIN5" s="146"/>
      <c r="LIO5" s="146"/>
      <c r="LIP5" s="146"/>
      <c r="LIQ5" s="146"/>
      <c r="LIR5" s="146"/>
      <c r="LIS5" s="146"/>
      <c r="LIT5" s="146"/>
      <c r="LIU5" s="146"/>
      <c r="LIV5" s="146"/>
      <c r="LIW5" s="146"/>
      <c r="LIX5" s="146"/>
      <c r="LIY5" s="146"/>
      <c r="LIZ5" s="146"/>
      <c r="LJA5" s="146"/>
      <c r="LJB5" s="146"/>
      <c r="LJC5" s="146"/>
      <c r="LJD5" s="146"/>
      <c r="LJE5" s="146"/>
      <c r="LJF5" s="146"/>
      <c r="LJG5" s="146"/>
      <c r="LJH5" s="146"/>
      <c r="LJI5" s="146"/>
      <c r="LJJ5" s="146"/>
      <c r="LJK5" s="146"/>
      <c r="LJL5" s="146"/>
      <c r="LJM5" s="146"/>
      <c r="LJN5" s="146"/>
      <c r="LJO5" s="146"/>
      <c r="LJP5" s="146"/>
      <c r="LJQ5" s="146"/>
      <c r="LJR5" s="146"/>
      <c r="LJS5" s="146"/>
      <c r="LJT5" s="146"/>
      <c r="LJU5" s="146"/>
      <c r="LJV5" s="146"/>
      <c r="LJW5" s="146"/>
      <c r="LJX5" s="146"/>
      <c r="LJY5" s="146"/>
      <c r="LJZ5" s="146"/>
      <c r="LKA5" s="146"/>
      <c r="LKB5" s="146"/>
      <c r="LKC5" s="146"/>
      <c r="LKD5" s="146"/>
      <c r="LKE5" s="146"/>
      <c r="LKF5" s="146"/>
      <c r="LKG5" s="146"/>
      <c r="LKH5" s="146"/>
      <c r="LKI5" s="146"/>
      <c r="LKJ5" s="146"/>
      <c r="LKK5" s="146"/>
      <c r="LKL5" s="146"/>
      <c r="LKM5" s="146"/>
      <c r="LKN5" s="146"/>
      <c r="LKO5" s="146"/>
      <c r="LKP5" s="146"/>
      <c r="LKQ5" s="146"/>
      <c r="LKR5" s="146"/>
      <c r="LKS5" s="146"/>
      <c r="LKT5" s="146"/>
      <c r="LKU5" s="146"/>
      <c r="LKV5" s="146"/>
      <c r="LKW5" s="146"/>
      <c r="LKX5" s="146"/>
      <c r="LKY5" s="146"/>
      <c r="LKZ5" s="146"/>
      <c r="LLA5" s="146"/>
      <c r="LLB5" s="146"/>
      <c r="LLC5" s="146"/>
      <c r="LLD5" s="146"/>
      <c r="LLE5" s="146"/>
      <c r="LLF5" s="146"/>
      <c r="LLG5" s="146"/>
      <c r="LLH5" s="146"/>
      <c r="LLI5" s="146"/>
      <c r="LLJ5" s="146"/>
      <c r="LLK5" s="146"/>
      <c r="LLL5" s="146"/>
      <c r="LLM5" s="146"/>
      <c r="LLN5" s="146"/>
      <c r="LLO5" s="146"/>
      <c r="LLP5" s="146"/>
      <c r="LLQ5" s="146"/>
      <c r="LLR5" s="146"/>
      <c r="LLS5" s="146"/>
      <c r="LLT5" s="146"/>
      <c r="LLU5" s="146"/>
      <c r="LLV5" s="146"/>
      <c r="LLW5" s="146"/>
      <c r="LLX5" s="146"/>
      <c r="LLY5" s="146"/>
      <c r="LLZ5" s="146"/>
      <c r="LMA5" s="146"/>
      <c r="LMB5" s="146"/>
      <c r="LMC5" s="146"/>
      <c r="LMD5" s="146"/>
      <c r="LME5" s="146"/>
      <c r="LMF5" s="146"/>
      <c r="LMG5" s="146"/>
      <c r="LMH5" s="146"/>
      <c r="LMI5" s="146"/>
      <c r="LMJ5" s="146"/>
      <c r="LMK5" s="146"/>
      <c r="LML5" s="146"/>
      <c r="LMM5" s="146"/>
      <c r="LMN5" s="146"/>
      <c r="LMO5" s="146"/>
      <c r="LMP5" s="146"/>
      <c r="LMQ5" s="146"/>
      <c r="LMR5" s="146"/>
      <c r="LMS5" s="146"/>
      <c r="LMT5" s="146"/>
      <c r="LMU5" s="146"/>
      <c r="LMV5" s="146"/>
      <c r="LMW5" s="146"/>
      <c r="LMX5" s="146"/>
      <c r="LMY5" s="146"/>
      <c r="LMZ5" s="146"/>
      <c r="LNA5" s="146"/>
      <c r="LNB5" s="146"/>
      <c r="LNC5" s="146"/>
      <c r="LND5" s="146"/>
      <c r="LNE5" s="146"/>
      <c r="LNF5" s="146"/>
      <c r="LNG5" s="146"/>
      <c r="LNH5" s="146"/>
      <c r="LNI5" s="146"/>
      <c r="LNJ5" s="146"/>
      <c r="LNK5" s="146"/>
      <c r="LNL5" s="146"/>
      <c r="LNM5" s="146"/>
      <c r="LNN5" s="146"/>
      <c r="LNO5" s="146"/>
      <c r="LNP5" s="146"/>
      <c r="LNQ5" s="146"/>
      <c r="LNR5" s="146"/>
      <c r="LNS5" s="146"/>
      <c r="LNT5" s="146"/>
      <c r="LNU5" s="146"/>
      <c r="LNV5" s="146"/>
      <c r="LNW5" s="146"/>
      <c r="LNX5" s="146"/>
      <c r="LNY5" s="146"/>
      <c r="LNZ5" s="146"/>
      <c r="LOA5" s="146"/>
      <c r="LOB5" s="146"/>
      <c r="LOC5" s="146"/>
      <c r="LOD5" s="146"/>
      <c r="LOE5" s="146"/>
      <c r="LOF5" s="146"/>
      <c r="LOG5" s="146"/>
      <c r="LOH5" s="146"/>
      <c r="LOI5" s="146"/>
      <c r="LOJ5" s="146"/>
      <c r="LOK5" s="146"/>
      <c r="LOL5" s="146"/>
      <c r="LOM5" s="146"/>
      <c r="LON5" s="146"/>
      <c r="LOO5" s="146"/>
      <c r="LOP5" s="146"/>
      <c r="LOQ5" s="146"/>
      <c r="LOR5" s="146"/>
      <c r="LOS5" s="146"/>
      <c r="LOT5" s="146"/>
      <c r="LOU5" s="146"/>
      <c r="LOV5" s="146"/>
      <c r="LOW5" s="146"/>
      <c r="LOX5" s="146"/>
      <c r="LOY5" s="146"/>
      <c r="LOZ5" s="146"/>
      <c r="LPA5" s="146"/>
      <c r="LPB5" s="146"/>
      <c r="LPC5" s="146"/>
      <c r="LPD5" s="146"/>
      <c r="LPE5" s="146"/>
      <c r="LPF5" s="146"/>
      <c r="LPG5" s="146"/>
      <c r="LPH5" s="146"/>
      <c r="LPI5" s="146"/>
      <c r="LPJ5" s="146"/>
      <c r="LPK5" s="146"/>
      <c r="LPL5" s="146"/>
      <c r="LPM5" s="146"/>
      <c r="LPN5" s="146"/>
      <c r="LPO5" s="146"/>
      <c r="LPP5" s="146"/>
      <c r="LPQ5" s="146"/>
      <c r="LPR5" s="146"/>
      <c r="LPS5" s="146"/>
      <c r="LPT5" s="146"/>
      <c r="LPU5" s="146"/>
      <c r="LPV5" s="146"/>
      <c r="LPW5" s="146"/>
      <c r="LPX5" s="146"/>
      <c r="LPY5" s="146"/>
      <c r="LPZ5" s="146"/>
      <c r="LQA5" s="146"/>
      <c r="LQB5" s="146"/>
      <c r="LQC5" s="146"/>
      <c r="LQD5" s="146"/>
      <c r="LQE5" s="146"/>
      <c r="LQF5" s="146"/>
      <c r="LQG5" s="146"/>
      <c r="LQH5" s="146"/>
      <c r="LQI5" s="146"/>
      <c r="LQJ5" s="146"/>
      <c r="LQK5" s="146"/>
      <c r="LQL5" s="146"/>
      <c r="LQM5" s="146"/>
      <c r="LQN5" s="146"/>
      <c r="LQO5" s="146"/>
      <c r="LQP5" s="146"/>
      <c r="LQQ5" s="146"/>
      <c r="LQR5" s="146"/>
      <c r="LQS5" s="146"/>
      <c r="LQT5" s="146"/>
      <c r="LQU5" s="146"/>
      <c r="LQV5" s="146"/>
      <c r="LQW5" s="146"/>
      <c r="LQX5" s="146"/>
      <c r="LQY5" s="146"/>
      <c r="LQZ5" s="146"/>
      <c r="LRA5" s="146"/>
      <c r="LRB5" s="146"/>
      <c r="LRC5" s="146"/>
      <c r="LRD5" s="146"/>
      <c r="LRE5" s="146"/>
      <c r="LRF5" s="146"/>
      <c r="LRG5" s="146"/>
      <c r="LRH5" s="146"/>
      <c r="LRI5" s="146"/>
      <c r="LRJ5" s="146"/>
      <c r="LRK5" s="146"/>
      <c r="LRL5" s="146"/>
      <c r="LRM5" s="146"/>
      <c r="LRN5" s="146"/>
      <c r="LRO5" s="146"/>
      <c r="LRP5" s="146"/>
      <c r="LRQ5" s="146"/>
      <c r="LRR5" s="146"/>
      <c r="LRS5" s="146"/>
      <c r="LRT5" s="146"/>
      <c r="LRU5" s="146"/>
      <c r="LRV5" s="146"/>
      <c r="LRW5" s="146"/>
      <c r="LRX5" s="146"/>
      <c r="LRY5" s="146"/>
      <c r="LRZ5" s="146"/>
      <c r="LSA5" s="146"/>
      <c r="LSB5" s="146"/>
      <c r="LSC5" s="146"/>
      <c r="LSD5" s="146"/>
      <c r="LSE5" s="146"/>
      <c r="LSF5" s="146"/>
      <c r="LSG5" s="146"/>
      <c r="LSH5" s="146"/>
      <c r="LSI5" s="146"/>
      <c r="LSJ5" s="146"/>
      <c r="LSK5" s="146"/>
      <c r="LSL5" s="146"/>
      <c r="LSM5" s="146"/>
      <c r="LSN5" s="146"/>
      <c r="LSO5" s="146"/>
      <c r="LSP5" s="146"/>
      <c r="LSQ5" s="146"/>
      <c r="LSR5" s="146"/>
      <c r="LSS5" s="146"/>
      <c r="LST5" s="146"/>
      <c r="LSU5" s="146"/>
      <c r="LSV5" s="146"/>
      <c r="LSW5" s="146"/>
      <c r="LSX5" s="146"/>
      <c r="LSY5" s="146"/>
      <c r="LSZ5" s="146"/>
      <c r="LTA5" s="146"/>
      <c r="LTB5" s="146"/>
      <c r="LTC5" s="146"/>
      <c r="LTD5" s="146"/>
      <c r="LTE5" s="146"/>
      <c r="LTF5" s="146"/>
      <c r="LTG5" s="146"/>
      <c r="LTH5" s="146"/>
      <c r="LTI5" s="146"/>
      <c r="LTJ5" s="146"/>
      <c r="LTK5" s="146"/>
      <c r="LTL5" s="146"/>
      <c r="LTM5" s="146"/>
      <c r="LTN5" s="146"/>
      <c r="LTO5" s="146"/>
      <c r="LTP5" s="146"/>
      <c r="LTQ5" s="146"/>
      <c r="LTR5" s="146"/>
      <c r="LTS5" s="146"/>
      <c r="LTT5" s="146"/>
      <c r="LTU5" s="146"/>
      <c r="LTV5" s="146"/>
      <c r="LTW5" s="146"/>
      <c r="LTX5" s="146"/>
      <c r="LTY5" s="146"/>
      <c r="LTZ5" s="146"/>
      <c r="LUA5" s="146"/>
      <c r="LUB5" s="146"/>
      <c r="LUC5" s="146"/>
      <c r="LUD5" s="146"/>
      <c r="LUE5" s="146"/>
      <c r="LUF5" s="146"/>
      <c r="LUG5" s="146"/>
      <c r="LUH5" s="146"/>
      <c r="LUI5" s="146"/>
      <c r="LUJ5" s="146"/>
      <c r="LUK5" s="146"/>
      <c r="LUL5" s="146"/>
      <c r="LUM5" s="146"/>
      <c r="LUN5" s="146"/>
      <c r="LUO5" s="146"/>
      <c r="LUP5" s="146"/>
      <c r="LUQ5" s="146"/>
      <c r="LUR5" s="146"/>
      <c r="LUS5" s="146"/>
      <c r="LUT5" s="146"/>
      <c r="LUU5" s="146"/>
      <c r="LUV5" s="146"/>
      <c r="LUW5" s="146"/>
      <c r="LUX5" s="146"/>
      <c r="LUY5" s="146"/>
      <c r="LUZ5" s="146"/>
      <c r="LVA5" s="146"/>
      <c r="LVB5" s="146"/>
      <c r="LVC5" s="146"/>
      <c r="LVD5" s="146"/>
      <c r="LVE5" s="146"/>
      <c r="LVF5" s="146"/>
      <c r="LVG5" s="146"/>
      <c r="LVH5" s="146"/>
      <c r="LVI5" s="146"/>
      <c r="LVJ5" s="146"/>
      <c r="LVK5" s="146"/>
      <c r="LVL5" s="146"/>
      <c r="LVM5" s="146"/>
      <c r="LVN5" s="146"/>
      <c r="LVO5" s="146"/>
      <c r="LVP5" s="146"/>
      <c r="LVQ5" s="146"/>
      <c r="LVR5" s="146"/>
      <c r="LVS5" s="146"/>
      <c r="LVT5" s="146"/>
      <c r="LVU5" s="146"/>
      <c r="LVV5" s="146"/>
      <c r="LVW5" s="146"/>
      <c r="LVX5" s="146"/>
      <c r="LVY5" s="146"/>
      <c r="LVZ5" s="146"/>
      <c r="LWA5" s="146"/>
      <c r="LWB5" s="146"/>
      <c r="LWC5" s="146"/>
      <c r="LWD5" s="146"/>
      <c r="LWE5" s="146"/>
      <c r="LWF5" s="146"/>
      <c r="LWG5" s="146"/>
      <c r="LWH5" s="146"/>
      <c r="LWI5" s="146"/>
      <c r="LWJ5" s="146"/>
      <c r="LWK5" s="146"/>
      <c r="LWL5" s="146"/>
      <c r="LWM5" s="146"/>
      <c r="LWN5" s="146"/>
      <c r="LWO5" s="146"/>
      <c r="LWP5" s="146"/>
      <c r="LWQ5" s="146"/>
      <c r="LWR5" s="146"/>
      <c r="LWS5" s="146"/>
      <c r="LWT5" s="146"/>
      <c r="LWU5" s="146"/>
      <c r="LWV5" s="146"/>
      <c r="LWW5" s="146"/>
      <c r="LWX5" s="146"/>
      <c r="LWY5" s="146"/>
      <c r="LWZ5" s="146"/>
      <c r="LXA5" s="146"/>
      <c r="LXB5" s="146"/>
      <c r="LXC5" s="146"/>
      <c r="LXD5" s="146"/>
      <c r="LXE5" s="146"/>
      <c r="LXF5" s="146"/>
      <c r="LXG5" s="146"/>
      <c r="LXH5" s="146"/>
      <c r="LXI5" s="146"/>
      <c r="LXJ5" s="146"/>
      <c r="LXK5" s="146"/>
      <c r="LXL5" s="146"/>
      <c r="LXM5" s="146"/>
      <c r="LXN5" s="146"/>
      <c r="LXO5" s="146"/>
      <c r="LXP5" s="146"/>
      <c r="LXQ5" s="146"/>
      <c r="LXR5" s="146"/>
      <c r="LXS5" s="146"/>
      <c r="LXT5" s="146"/>
      <c r="LXU5" s="146"/>
      <c r="LXV5" s="146"/>
      <c r="LXW5" s="146"/>
      <c r="LXX5" s="146"/>
      <c r="LXY5" s="146"/>
      <c r="LXZ5" s="146"/>
      <c r="LYA5" s="146"/>
      <c r="LYB5" s="146"/>
      <c r="LYC5" s="146"/>
      <c r="LYD5" s="146"/>
      <c r="LYE5" s="146"/>
      <c r="LYF5" s="146"/>
      <c r="LYG5" s="146"/>
      <c r="LYH5" s="146"/>
      <c r="LYI5" s="146"/>
      <c r="LYJ5" s="146"/>
      <c r="LYK5" s="146"/>
      <c r="LYL5" s="146"/>
      <c r="LYM5" s="146"/>
      <c r="LYN5" s="146"/>
      <c r="LYO5" s="146"/>
      <c r="LYP5" s="146"/>
      <c r="LYQ5" s="146"/>
      <c r="LYR5" s="146"/>
      <c r="LYS5" s="146"/>
      <c r="LYT5" s="146"/>
      <c r="LYU5" s="146"/>
      <c r="LYV5" s="146"/>
      <c r="LYW5" s="146"/>
      <c r="LYX5" s="146"/>
      <c r="LYY5" s="146"/>
      <c r="LYZ5" s="146"/>
      <c r="LZA5" s="146"/>
      <c r="LZB5" s="146"/>
      <c r="LZC5" s="146"/>
      <c r="LZD5" s="146"/>
      <c r="LZE5" s="146"/>
      <c r="LZF5" s="146"/>
      <c r="LZG5" s="146"/>
      <c r="LZH5" s="146"/>
      <c r="LZI5" s="146"/>
      <c r="LZJ5" s="146"/>
      <c r="LZK5" s="146"/>
      <c r="LZL5" s="146"/>
      <c r="LZM5" s="146"/>
      <c r="LZN5" s="146"/>
      <c r="LZO5" s="146"/>
      <c r="LZP5" s="146"/>
      <c r="LZQ5" s="146"/>
      <c r="LZR5" s="146"/>
      <c r="LZS5" s="146"/>
      <c r="LZT5" s="146"/>
      <c r="LZU5" s="146"/>
      <c r="LZV5" s="146"/>
      <c r="LZW5" s="146"/>
      <c r="LZX5" s="146"/>
      <c r="LZY5" s="146"/>
      <c r="LZZ5" s="146"/>
      <c r="MAA5" s="146"/>
      <c r="MAB5" s="146"/>
      <c r="MAC5" s="146"/>
      <c r="MAD5" s="146"/>
      <c r="MAE5" s="146"/>
      <c r="MAF5" s="146"/>
      <c r="MAG5" s="146"/>
      <c r="MAH5" s="146"/>
      <c r="MAI5" s="146"/>
      <c r="MAJ5" s="146"/>
      <c r="MAK5" s="146"/>
      <c r="MAL5" s="146"/>
      <c r="MAM5" s="146"/>
      <c r="MAN5" s="146"/>
      <c r="MAO5" s="146"/>
      <c r="MAP5" s="146"/>
      <c r="MAQ5" s="146"/>
      <c r="MAR5" s="146"/>
      <c r="MAS5" s="146"/>
      <c r="MAT5" s="146"/>
      <c r="MAU5" s="146"/>
      <c r="MAV5" s="146"/>
      <c r="MAW5" s="146"/>
      <c r="MAX5" s="146"/>
      <c r="MAY5" s="146"/>
      <c r="MAZ5" s="146"/>
      <c r="MBA5" s="146"/>
      <c r="MBB5" s="146"/>
      <c r="MBC5" s="146"/>
      <c r="MBD5" s="146"/>
      <c r="MBE5" s="146"/>
      <c r="MBF5" s="146"/>
      <c r="MBG5" s="146"/>
      <c r="MBH5" s="146"/>
      <c r="MBI5" s="146"/>
      <c r="MBJ5" s="146"/>
      <c r="MBK5" s="146"/>
      <c r="MBL5" s="146"/>
      <c r="MBM5" s="146"/>
      <c r="MBN5" s="146"/>
      <c r="MBO5" s="146"/>
      <c r="MBP5" s="146"/>
      <c r="MBQ5" s="146"/>
      <c r="MBR5" s="146"/>
      <c r="MBS5" s="146"/>
      <c r="MBT5" s="146"/>
      <c r="MBU5" s="146"/>
      <c r="MBV5" s="146"/>
      <c r="MBW5" s="146"/>
      <c r="MBX5" s="146"/>
      <c r="MBY5" s="146"/>
      <c r="MBZ5" s="146"/>
      <c r="MCA5" s="146"/>
      <c r="MCB5" s="146"/>
      <c r="MCC5" s="146"/>
      <c r="MCD5" s="146"/>
      <c r="MCE5" s="146"/>
      <c r="MCF5" s="146"/>
      <c r="MCG5" s="146"/>
      <c r="MCH5" s="146"/>
      <c r="MCI5" s="146"/>
      <c r="MCJ5" s="146"/>
      <c r="MCK5" s="146"/>
      <c r="MCL5" s="146"/>
      <c r="MCM5" s="146"/>
      <c r="MCN5" s="146"/>
      <c r="MCO5" s="146"/>
      <c r="MCP5" s="146"/>
      <c r="MCQ5" s="146"/>
      <c r="MCR5" s="146"/>
      <c r="MCS5" s="146"/>
      <c r="MCT5" s="146"/>
      <c r="MCU5" s="146"/>
      <c r="MCV5" s="146"/>
      <c r="MCW5" s="146"/>
      <c r="MCX5" s="146"/>
      <c r="MCY5" s="146"/>
      <c r="MCZ5" s="146"/>
      <c r="MDA5" s="146"/>
      <c r="MDB5" s="146"/>
      <c r="MDC5" s="146"/>
      <c r="MDD5" s="146"/>
      <c r="MDE5" s="146"/>
      <c r="MDF5" s="146"/>
      <c r="MDG5" s="146"/>
      <c r="MDH5" s="146"/>
      <c r="MDI5" s="146"/>
      <c r="MDJ5" s="146"/>
      <c r="MDK5" s="146"/>
      <c r="MDL5" s="146"/>
      <c r="MDM5" s="146"/>
      <c r="MDN5" s="146"/>
      <c r="MDO5" s="146"/>
      <c r="MDP5" s="146"/>
      <c r="MDQ5" s="146"/>
      <c r="MDR5" s="146"/>
      <c r="MDS5" s="146"/>
      <c r="MDT5" s="146"/>
      <c r="MDU5" s="146"/>
      <c r="MDV5" s="146"/>
      <c r="MDW5" s="146"/>
      <c r="MDX5" s="146"/>
      <c r="MDY5" s="146"/>
      <c r="MDZ5" s="146"/>
      <c r="MEA5" s="146"/>
      <c r="MEB5" s="146"/>
      <c r="MEC5" s="146"/>
      <c r="MED5" s="146"/>
      <c r="MEE5" s="146"/>
      <c r="MEF5" s="146"/>
      <c r="MEG5" s="146"/>
      <c r="MEH5" s="146"/>
      <c r="MEI5" s="146"/>
      <c r="MEJ5" s="146"/>
      <c r="MEK5" s="146"/>
      <c r="MEL5" s="146"/>
      <c r="MEM5" s="146"/>
      <c r="MEN5" s="146"/>
      <c r="MEO5" s="146"/>
      <c r="MEP5" s="146"/>
      <c r="MEQ5" s="146"/>
      <c r="MER5" s="146"/>
      <c r="MES5" s="146"/>
      <c r="MET5" s="146"/>
      <c r="MEU5" s="146"/>
      <c r="MEV5" s="146"/>
      <c r="MEW5" s="146"/>
      <c r="MEX5" s="146"/>
      <c r="MEY5" s="146"/>
      <c r="MEZ5" s="146"/>
      <c r="MFA5" s="146"/>
      <c r="MFB5" s="146"/>
      <c r="MFC5" s="146"/>
      <c r="MFD5" s="146"/>
      <c r="MFE5" s="146"/>
      <c r="MFF5" s="146"/>
      <c r="MFG5" s="146"/>
      <c r="MFH5" s="146"/>
      <c r="MFI5" s="146"/>
      <c r="MFJ5" s="146"/>
      <c r="MFK5" s="146"/>
      <c r="MFL5" s="146"/>
      <c r="MFM5" s="146"/>
      <c r="MFN5" s="146"/>
      <c r="MFO5" s="146"/>
      <c r="MFP5" s="146"/>
      <c r="MFQ5" s="146"/>
      <c r="MFR5" s="146"/>
      <c r="MFS5" s="146"/>
      <c r="MFT5" s="146"/>
      <c r="MFU5" s="146"/>
      <c r="MFV5" s="146"/>
      <c r="MFW5" s="146"/>
      <c r="MFX5" s="146"/>
      <c r="MFY5" s="146"/>
      <c r="MFZ5" s="146"/>
      <c r="MGA5" s="146"/>
      <c r="MGB5" s="146"/>
      <c r="MGC5" s="146"/>
      <c r="MGD5" s="146"/>
      <c r="MGE5" s="146"/>
      <c r="MGF5" s="146"/>
      <c r="MGG5" s="146"/>
      <c r="MGH5" s="146"/>
      <c r="MGI5" s="146"/>
      <c r="MGJ5" s="146"/>
      <c r="MGK5" s="146"/>
      <c r="MGL5" s="146"/>
      <c r="MGM5" s="146"/>
      <c r="MGN5" s="146"/>
      <c r="MGO5" s="146"/>
      <c r="MGP5" s="146"/>
      <c r="MGQ5" s="146"/>
      <c r="MGR5" s="146"/>
      <c r="MGS5" s="146"/>
      <c r="MGT5" s="146"/>
      <c r="MGU5" s="146"/>
      <c r="MGV5" s="146"/>
      <c r="MGW5" s="146"/>
      <c r="MGX5" s="146"/>
      <c r="MGY5" s="146"/>
      <c r="MGZ5" s="146"/>
      <c r="MHA5" s="146"/>
      <c r="MHB5" s="146"/>
      <c r="MHC5" s="146"/>
      <c r="MHD5" s="146"/>
      <c r="MHE5" s="146"/>
      <c r="MHF5" s="146"/>
      <c r="MHG5" s="146"/>
      <c r="MHH5" s="146"/>
      <c r="MHI5" s="146"/>
      <c r="MHJ5" s="146"/>
      <c r="MHK5" s="146"/>
      <c r="MHL5" s="146"/>
      <c r="MHM5" s="146"/>
      <c r="MHN5" s="146"/>
      <c r="MHO5" s="146"/>
      <c r="MHP5" s="146"/>
      <c r="MHQ5" s="146"/>
      <c r="MHR5" s="146"/>
      <c r="MHS5" s="146"/>
      <c r="MHT5" s="146"/>
      <c r="MHU5" s="146"/>
      <c r="MHV5" s="146"/>
      <c r="MHW5" s="146"/>
      <c r="MHX5" s="146"/>
      <c r="MHY5" s="146"/>
      <c r="MHZ5" s="146"/>
      <c r="MIA5" s="146"/>
      <c r="MIB5" s="146"/>
      <c r="MIC5" s="146"/>
      <c r="MID5" s="146"/>
      <c r="MIE5" s="146"/>
      <c r="MIF5" s="146"/>
      <c r="MIG5" s="146"/>
      <c r="MIH5" s="146"/>
      <c r="MII5" s="146"/>
      <c r="MIJ5" s="146"/>
      <c r="MIK5" s="146"/>
      <c r="MIL5" s="146"/>
      <c r="MIM5" s="146"/>
      <c r="MIN5" s="146"/>
      <c r="MIO5" s="146"/>
      <c r="MIP5" s="146"/>
      <c r="MIQ5" s="146"/>
      <c r="MIR5" s="146"/>
      <c r="MIS5" s="146"/>
      <c r="MIT5" s="146"/>
      <c r="MIU5" s="146"/>
      <c r="MIV5" s="146"/>
      <c r="MIW5" s="146"/>
      <c r="MIX5" s="146"/>
      <c r="MIY5" s="146"/>
      <c r="MIZ5" s="146"/>
      <c r="MJA5" s="146"/>
      <c r="MJB5" s="146"/>
      <c r="MJC5" s="146"/>
      <c r="MJD5" s="146"/>
      <c r="MJE5" s="146"/>
      <c r="MJF5" s="146"/>
      <c r="MJG5" s="146"/>
      <c r="MJH5" s="146"/>
      <c r="MJI5" s="146"/>
      <c r="MJJ5" s="146"/>
      <c r="MJK5" s="146"/>
      <c r="MJL5" s="146"/>
      <c r="MJM5" s="146"/>
      <c r="MJN5" s="146"/>
      <c r="MJO5" s="146"/>
      <c r="MJP5" s="146"/>
      <c r="MJQ5" s="146"/>
      <c r="MJR5" s="146"/>
      <c r="MJS5" s="146"/>
      <c r="MJT5" s="146"/>
      <c r="MJU5" s="146"/>
      <c r="MJV5" s="146"/>
      <c r="MJW5" s="146"/>
      <c r="MJX5" s="146"/>
      <c r="MJY5" s="146"/>
      <c r="MJZ5" s="146"/>
      <c r="MKA5" s="146"/>
      <c r="MKB5" s="146"/>
      <c r="MKC5" s="146"/>
      <c r="MKD5" s="146"/>
      <c r="MKE5" s="146"/>
      <c r="MKF5" s="146"/>
      <c r="MKG5" s="146"/>
      <c r="MKH5" s="146"/>
      <c r="MKI5" s="146"/>
      <c r="MKJ5" s="146"/>
      <c r="MKK5" s="146"/>
      <c r="MKL5" s="146"/>
      <c r="MKM5" s="146"/>
      <c r="MKN5" s="146"/>
      <c r="MKO5" s="146"/>
      <c r="MKP5" s="146"/>
      <c r="MKQ5" s="146"/>
      <c r="MKR5" s="146"/>
      <c r="MKS5" s="146"/>
      <c r="MKT5" s="146"/>
      <c r="MKU5" s="146"/>
      <c r="MKV5" s="146"/>
      <c r="MKW5" s="146"/>
      <c r="MKX5" s="146"/>
      <c r="MKY5" s="146"/>
      <c r="MKZ5" s="146"/>
      <c r="MLA5" s="146"/>
      <c r="MLB5" s="146"/>
      <c r="MLC5" s="146"/>
      <c r="MLD5" s="146"/>
      <c r="MLE5" s="146"/>
      <c r="MLF5" s="146"/>
      <c r="MLG5" s="146"/>
      <c r="MLH5" s="146"/>
      <c r="MLI5" s="146"/>
      <c r="MLJ5" s="146"/>
      <c r="MLK5" s="146"/>
      <c r="MLL5" s="146"/>
      <c r="MLM5" s="146"/>
      <c r="MLN5" s="146"/>
      <c r="MLO5" s="146"/>
      <c r="MLP5" s="146"/>
      <c r="MLQ5" s="146"/>
      <c r="MLR5" s="146"/>
      <c r="MLS5" s="146"/>
      <c r="MLT5" s="146"/>
      <c r="MLU5" s="146"/>
      <c r="MLV5" s="146"/>
      <c r="MLW5" s="146"/>
      <c r="MLX5" s="146"/>
      <c r="MLY5" s="146"/>
      <c r="MLZ5" s="146"/>
      <c r="MMA5" s="146"/>
      <c r="MMB5" s="146"/>
      <c r="MMC5" s="146"/>
      <c r="MMD5" s="146"/>
      <c r="MME5" s="146"/>
      <c r="MMF5" s="146"/>
      <c r="MMG5" s="146"/>
      <c r="MMH5" s="146"/>
      <c r="MMI5" s="146"/>
      <c r="MMJ5" s="146"/>
      <c r="MMK5" s="146"/>
      <c r="MML5" s="146"/>
      <c r="MMM5" s="146"/>
      <c r="MMN5" s="146"/>
      <c r="MMO5" s="146"/>
      <c r="MMP5" s="146"/>
      <c r="MMQ5" s="146"/>
      <c r="MMR5" s="146"/>
      <c r="MMS5" s="146"/>
      <c r="MMT5" s="146"/>
      <c r="MMU5" s="146"/>
      <c r="MMV5" s="146"/>
      <c r="MMW5" s="146"/>
      <c r="MMX5" s="146"/>
      <c r="MMY5" s="146"/>
      <c r="MMZ5" s="146"/>
      <c r="MNA5" s="146"/>
      <c r="MNB5" s="146"/>
      <c r="MNC5" s="146"/>
      <c r="MND5" s="146"/>
      <c r="MNE5" s="146"/>
      <c r="MNF5" s="146"/>
      <c r="MNG5" s="146"/>
      <c r="MNH5" s="146"/>
      <c r="MNI5" s="146"/>
      <c r="MNJ5" s="146"/>
      <c r="MNK5" s="146"/>
      <c r="MNL5" s="146"/>
      <c r="MNM5" s="146"/>
      <c r="MNN5" s="146"/>
      <c r="MNO5" s="146"/>
      <c r="MNP5" s="146"/>
      <c r="MNQ5" s="146"/>
      <c r="MNR5" s="146"/>
      <c r="MNS5" s="146"/>
      <c r="MNT5" s="146"/>
      <c r="MNU5" s="146"/>
      <c r="MNV5" s="146"/>
      <c r="MNW5" s="146"/>
      <c r="MNX5" s="146"/>
      <c r="MNY5" s="146"/>
      <c r="MNZ5" s="146"/>
      <c r="MOA5" s="146"/>
      <c r="MOB5" s="146"/>
      <c r="MOC5" s="146"/>
      <c r="MOD5" s="146"/>
      <c r="MOE5" s="146"/>
      <c r="MOF5" s="146"/>
      <c r="MOG5" s="146"/>
      <c r="MOH5" s="146"/>
      <c r="MOI5" s="146"/>
      <c r="MOJ5" s="146"/>
      <c r="MOK5" s="146"/>
      <c r="MOL5" s="146"/>
      <c r="MOM5" s="146"/>
      <c r="MON5" s="146"/>
      <c r="MOO5" s="146"/>
      <c r="MOP5" s="146"/>
      <c r="MOQ5" s="146"/>
      <c r="MOR5" s="146"/>
      <c r="MOS5" s="146"/>
      <c r="MOT5" s="146"/>
      <c r="MOU5" s="146"/>
      <c r="MOV5" s="146"/>
      <c r="MOW5" s="146"/>
      <c r="MOX5" s="146"/>
      <c r="MOY5" s="146"/>
      <c r="MOZ5" s="146"/>
      <c r="MPA5" s="146"/>
      <c r="MPB5" s="146"/>
      <c r="MPC5" s="146"/>
      <c r="MPD5" s="146"/>
      <c r="MPE5" s="146"/>
      <c r="MPF5" s="146"/>
      <c r="MPG5" s="146"/>
      <c r="MPH5" s="146"/>
      <c r="MPI5" s="146"/>
      <c r="MPJ5" s="146"/>
      <c r="MPK5" s="146"/>
      <c r="MPL5" s="146"/>
      <c r="MPM5" s="146"/>
      <c r="MPN5" s="146"/>
      <c r="MPO5" s="146"/>
      <c r="MPP5" s="146"/>
      <c r="MPQ5" s="146"/>
      <c r="MPR5" s="146"/>
      <c r="MPS5" s="146"/>
      <c r="MPT5" s="146"/>
      <c r="MPU5" s="146"/>
      <c r="MPV5" s="146"/>
      <c r="MPW5" s="146"/>
      <c r="MPX5" s="146"/>
      <c r="MPY5" s="146"/>
      <c r="MPZ5" s="146"/>
      <c r="MQA5" s="146"/>
      <c r="MQB5" s="146"/>
      <c r="MQC5" s="146"/>
      <c r="MQD5" s="146"/>
      <c r="MQE5" s="146"/>
      <c r="MQF5" s="146"/>
      <c r="MQG5" s="146"/>
      <c r="MQH5" s="146"/>
      <c r="MQI5" s="146"/>
      <c r="MQJ5" s="146"/>
      <c r="MQK5" s="146"/>
      <c r="MQL5" s="146"/>
      <c r="MQM5" s="146"/>
      <c r="MQN5" s="146"/>
      <c r="MQO5" s="146"/>
      <c r="MQP5" s="146"/>
      <c r="MQQ5" s="146"/>
      <c r="MQR5" s="146"/>
      <c r="MQS5" s="146"/>
      <c r="MQT5" s="146"/>
      <c r="MQU5" s="146"/>
      <c r="MQV5" s="146"/>
      <c r="MQW5" s="146"/>
      <c r="MQX5" s="146"/>
      <c r="MQY5" s="146"/>
      <c r="MQZ5" s="146"/>
      <c r="MRA5" s="146"/>
      <c r="MRB5" s="146"/>
      <c r="MRC5" s="146"/>
      <c r="MRD5" s="146"/>
      <c r="MRE5" s="146"/>
      <c r="MRF5" s="146"/>
      <c r="MRG5" s="146"/>
      <c r="MRH5" s="146"/>
      <c r="MRI5" s="146"/>
      <c r="MRJ5" s="146"/>
      <c r="MRK5" s="146"/>
      <c r="MRL5" s="146"/>
      <c r="MRM5" s="146"/>
      <c r="MRN5" s="146"/>
      <c r="MRO5" s="146"/>
      <c r="MRP5" s="146"/>
      <c r="MRQ5" s="146"/>
      <c r="MRR5" s="146"/>
      <c r="MRS5" s="146"/>
      <c r="MRT5" s="146"/>
      <c r="MRU5" s="146"/>
      <c r="MRV5" s="146"/>
      <c r="MRW5" s="146"/>
      <c r="MRX5" s="146"/>
      <c r="MRY5" s="146"/>
      <c r="MRZ5" s="146"/>
      <c r="MSA5" s="146"/>
      <c r="MSB5" s="146"/>
      <c r="MSC5" s="146"/>
      <c r="MSD5" s="146"/>
      <c r="MSE5" s="146"/>
      <c r="MSF5" s="146"/>
      <c r="MSG5" s="146"/>
      <c r="MSH5" s="146"/>
      <c r="MSI5" s="146"/>
      <c r="MSJ5" s="146"/>
      <c r="MSK5" s="146"/>
      <c r="MSL5" s="146"/>
      <c r="MSM5" s="146"/>
      <c r="MSN5" s="146"/>
      <c r="MSO5" s="146"/>
      <c r="MSP5" s="146"/>
      <c r="MSQ5" s="146"/>
      <c r="MSR5" s="146"/>
      <c r="MSS5" s="146"/>
      <c r="MST5" s="146"/>
      <c r="MSU5" s="146"/>
      <c r="MSV5" s="146"/>
      <c r="MSW5" s="146"/>
      <c r="MSX5" s="146"/>
      <c r="MSY5" s="146"/>
      <c r="MSZ5" s="146"/>
      <c r="MTA5" s="146"/>
      <c r="MTB5" s="146"/>
      <c r="MTC5" s="146"/>
      <c r="MTD5" s="146"/>
      <c r="MTE5" s="146"/>
      <c r="MTF5" s="146"/>
      <c r="MTG5" s="146"/>
      <c r="MTH5" s="146"/>
      <c r="MTI5" s="146"/>
      <c r="MTJ5" s="146"/>
      <c r="MTK5" s="146"/>
      <c r="MTL5" s="146"/>
      <c r="MTM5" s="146"/>
      <c r="MTN5" s="146"/>
      <c r="MTO5" s="146"/>
      <c r="MTP5" s="146"/>
      <c r="MTQ5" s="146"/>
      <c r="MTR5" s="146"/>
      <c r="MTS5" s="146"/>
      <c r="MTT5" s="146"/>
      <c r="MTU5" s="146"/>
      <c r="MTV5" s="146"/>
      <c r="MTW5" s="146"/>
      <c r="MTX5" s="146"/>
      <c r="MTY5" s="146"/>
      <c r="MTZ5" s="146"/>
      <c r="MUA5" s="146"/>
      <c r="MUB5" s="146"/>
      <c r="MUC5" s="146"/>
      <c r="MUD5" s="146"/>
      <c r="MUE5" s="146"/>
      <c r="MUF5" s="146"/>
      <c r="MUG5" s="146"/>
      <c r="MUH5" s="146"/>
      <c r="MUI5" s="146"/>
      <c r="MUJ5" s="146"/>
      <c r="MUK5" s="146"/>
      <c r="MUL5" s="146"/>
      <c r="MUM5" s="146"/>
      <c r="MUN5" s="146"/>
      <c r="MUO5" s="146"/>
      <c r="MUP5" s="146"/>
      <c r="MUQ5" s="146"/>
      <c r="MUR5" s="146"/>
      <c r="MUS5" s="146"/>
      <c r="MUT5" s="146"/>
      <c r="MUU5" s="146"/>
      <c r="MUV5" s="146"/>
      <c r="MUW5" s="146"/>
      <c r="MUX5" s="146"/>
      <c r="MUY5" s="146"/>
      <c r="MUZ5" s="146"/>
      <c r="MVA5" s="146"/>
      <c r="MVB5" s="146"/>
      <c r="MVC5" s="146"/>
      <c r="MVD5" s="146"/>
      <c r="MVE5" s="146"/>
      <c r="MVF5" s="146"/>
      <c r="MVG5" s="146"/>
      <c r="MVH5" s="146"/>
      <c r="MVI5" s="146"/>
      <c r="MVJ5" s="146"/>
      <c r="MVK5" s="146"/>
      <c r="MVL5" s="146"/>
      <c r="MVM5" s="146"/>
      <c r="MVN5" s="146"/>
      <c r="MVO5" s="146"/>
      <c r="MVP5" s="146"/>
      <c r="MVQ5" s="146"/>
      <c r="MVR5" s="146"/>
      <c r="MVS5" s="146"/>
      <c r="MVT5" s="146"/>
      <c r="MVU5" s="146"/>
      <c r="MVV5" s="146"/>
      <c r="MVW5" s="146"/>
      <c r="MVX5" s="146"/>
      <c r="MVY5" s="146"/>
      <c r="MVZ5" s="146"/>
      <c r="MWA5" s="146"/>
      <c r="MWB5" s="146"/>
      <c r="MWC5" s="146"/>
      <c r="MWD5" s="146"/>
      <c r="MWE5" s="146"/>
      <c r="MWF5" s="146"/>
      <c r="MWG5" s="146"/>
      <c r="MWH5" s="146"/>
      <c r="MWI5" s="146"/>
      <c r="MWJ5" s="146"/>
      <c r="MWK5" s="146"/>
      <c r="MWL5" s="146"/>
      <c r="MWM5" s="146"/>
      <c r="MWN5" s="146"/>
      <c r="MWO5" s="146"/>
      <c r="MWP5" s="146"/>
      <c r="MWQ5" s="146"/>
      <c r="MWR5" s="146"/>
      <c r="MWS5" s="146"/>
      <c r="MWT5" s="146"/>
      <c r="MWU5" s="146"/>
      <c r="MWV5" s="146"/>
      <c r="MWW5" s="146"/>
      <c r="MWX5" s="146"/>
      <c r="MWY5" s="146"/>
      <c r="MWZ5" s="146"/>
      <c r="MXA5" s="146"/>
      <c r="MXB5" s="146"/>
      <c r="MXC5" s="146"/>
      <c r="MXD5" s="146"/>
      <c r="MXE5" s="146"/>
      <c r="MXF5" s="146"/>
      <c r="MXG5" s="146"/>
      <c r="MXH5" s="146"/>
      <c r="MXI5" s="146"/>
      <c r="MXJ5" s="146"/>
      <c r="MXK5" s="146"/>
      <c r="MXL5" s="146"/>
      <c r="MXM5" s="146"/>
      <c r="MXN5" s="146"/>
      <c r="MXO5" s="146"/>
      <c r="MXP5" s="146"/>
      <c r="MXQ5" s="146"/>
      <c r="MXR5" s="146"/>
      <c r="MXS5" s="146"/>
      <c r="MXT5" s="146"/>
      <c r="MXU5" s="146"/>
      <c r="MXV5" s="146"/>
      <c r="MXW5" s="146"/>
      <c r="MXX5" s="146"/>
      <c r="MXY5" s="146"/>
      <c r="MXZ5" s="146"/>
      <c r="MYA5" s="146"/>
      <c r="MYB5" s="146"/>
      <c r="MYC5" s="146"/>
      <c r="MYD5" s="146"/>
      <c r="MYE5" s="146"/>
      <c r="MYF5" s="146"/>
      <c r="MYG5" s="146"/>
      <c r="MYH5" s="146"/>
      <c r="MYI5" s="146"/>
      <c r="MYJ5" s="146"/>
      <c r="MYK5" s="146"/>
      <c r="MYL5" s="146"/>
      <c r="MYM5" s="146"/>
      <c r="MYN5" s="146"/>
      <c r="MYO5" s="146"/>
      <c r="MYP5" s="146"/>
      <c r="MYQ5" s="146"/>
      <c r="MYR5" s="146"/>
      <c r="MYS5" s="146"/>
      <c r="MYT5" s="146"/>
      <c r="MYU5" s="146"/>
      <c r="MYV5" s="146"/>
      <c r="MYW5" s="146"/>
      <c r="MYX5" s="146"/>
      <c r="MYY5" s="146"/>
      <c r="MYZ5" s="146"/>
      <c r="MZA5" s="146"/>
      <c r="MZB5" s="146"/>
      <c r="MZC5" s="146"/>
      <c r="MZD5" s="146"/>
      <c r="MZE5" s="146"/>
      <c r="MZF5" s="146"/>
      <c r="MZG5" s="146"/>
      <c r="MZH5" s="146"/>
      <c r="MZI5" s="146"/>
      <c r="MZJ5" s="146"/>
      <c r="MZK5" s="146"/>
      <c r="MZL5" s="146"/>
      <c r="MZM5" s="146"/>
      <c r="MZN5" s="146"/>
      <c r="MZO5" s="146"/>
      <c r="MZP5" s="146"/>
      <c r="MZQ5" s="146"/>
      <c r="MZR5" s="146"/>
      <c r="MZS5" s="146"/>
      <c r="MZT5" s="146"/>
      <c r="MZU5" s="146"/>
      <c r="MZV5" s="146"/>
      <c r="MZW5" s="146"/>
      <c r="MZX5" s="146"/>
      <c r="MZY5" s="146"/>
      <c r="MZZ5" s="146"/>
      <c r="NAA5" s="146"/>
      <c r="NAB5" s="146"/>
      <c r="NAC5" s="146"/>
      <c r="NAD5" s="146"/>
      <c r="NAE5" s="146"/>
      <c r="NAF5" s="146"/>
      <c r="NAG5" s="146"/>
      <c r="NAH5" s="146"/>
      <c r="NAI5" s="146"/>
      <c r="NAJ5" s="146"/>
      <c r="NAK5" s="146"/>
      <c r="NAL5" s="146"/>
      <c r="NAM5" s="146"/>
      <c r="NAN5" s="146"/>
      <c r="NAO5" s="146"/>
      <c r="NAP5" s="146"/>
      <c r="NAQ5" s="146"/>
      <c r="NAR5" s="146"/>
      <c r="NAS5" s="146"/>
      <c r="NAT5" s="146"/>
      <c r="NAU5" s="146"/>
      <c r="NAV5" s="146"/>
      <c r="NAW5" s="146"/>
      <c r="NAX5" s="146"/>
      <c r="NAY5" s="146"/>
      <c r="NAZ5" s="146"/>
      <c r="NBA5" s="146"/>
      <c r="NBB5" s="146"/>
      <c r="NBC5" s="146"/>
      <c r="NBD5" s="146"/>
      <c r="NBE5" s="146"/>
      <c r="NBF5" s="146"/>
      <c r="NBG5" s="146"/>
      <c r="NBH5" s="146"/>
      <c r="NBI5" s="146"/>
      <c r="NBJ5" s="146"/>
      <c r="NBK5" s="146"/>
      <c r="NBL5" s="146"/>
      <c r="NBM5" s="146"/>
      <c r="NBN5" s="146"/>
      <c r="NBO5" s="146"/>
      <c r="NBP5" s="146"/>
      <c r="NBQ5" s="146"/>
      <c r="NBR5" s="146"/>
      <c r="NBS5" s="146"/>
      <c r="NBT5" s="146"/>
      <c r="NBU5" s="146"/>
      <c r="NBV5" s="146"/>
      <c r="NBW5" s="146"/>
      <c r="NBX5" s="146"/>
      <c r="NBY5" s="146"/>
      <c r="NBZ5" s="146"/>
      <c r="NCA5" s="146"/>
      <c r="NCB5" s="146"/>
      <c r="NCC5" s="146"/>
      <c r="NCD5" s="146"/>
      <c r="NCE5" s="146"/>
      <c r="NCF5" s="146"/>
      <c r="NCG5" s="146"/>
      <c r="NCH5" s="146"/>
      <c r="NCI5" s="146"/>
      <c r="NCJ5" s="146"/>
      <c r="NCK5" s="146"/>
      <c r="NCL5" s="146"/>
      <c r="NCM5" s="146"/>
      <c r="NCN5" s="146"/>
      <c r="NCO5" s="146"/>
      <c r="NCP5" s="146"/>
      <c r="NCQ5" s="146"/>
      <c r="NCR5" s="146"/>
      <c r="NCS5" s="146"/>
      <c r="NCT5" s="146"/>
      <c r="NCU5" s="146"/>
      <c r="NCV5" s="146"/>
      <c r="NCW5" s="146"/>
      <c r="NCX5" s="146"/>
      <c r="NCY5" s="146"/>
      <c r="NCZ5" s="146"/>
      <c r="NDA5" s="146"/>
      <c r="NDB5" s="146"/>
      <c r="NDC5" s="146"/>
      <c r="NDD5" s="146"/>
      <c r="NDE5" s="146"/>
      <c r="NDF5" s="146"/>
      <c r="NDG5" s="146"/>
      <c r="NDH5" s="146"/>
      <c r="NDI5" s="146"/>
      <c r="NDJ5" s="146"/>
      <c r="NDK5" s="146"/>
      <c r="NDL5" s="146"/>
      <c r="NDM5" s="146"/>
      <c r="NDN5" s="146"/>
      <c r="NDO5" s="146"/>
      <c r="NDP5" s="146"/>
      <c r="NDQ5" s="146"/>
      <c r="NDR5" s="146"/>
      <c r="NDS5" s="146"/>
      <c r="NDT5" s="146"/>
      <c r="NDU5" s="146"/>
      <c r="NDV5" s="146"/>
      <c r="NDW5" s="146"/>
      <c r="NDX5" s="146"/>
      <c r="NDY5" s="146"/>
      <c r="NDZ5" s="146"/>
      <c r="NEA5" s="146"/>
      <c r="NEB5" s="146"/>
      <c r="NEC5" s="146"/>
      <c r="NED5" s="146"/>
      <c r="NEE5" s="146"/>
      <c r="NEF5" s="146"/>
      <c r="NEG5" s="146"/>
      <c r="NEH5" s="146"/>
      <c r="NEI5" s="146"/>
      <c r="NEJ5" s="146"/>
      <c r="NEK5" s="146"/>
      <c r="NEL5" s="146"/>
      <c r="NEM5" s="146"/>
      <c r="NEN5" s="146"/>
      <c r="NEO5" s="146"/>
      <c r="NEP5" s="146"/>
      <c r="NEQ5" s="146"/>
      <c r="NER5" s="146"/>
      <c r="NES5" s="146"/>
      <c r="NET5" s="146"/>
      <c r="NEU5" s="146"/>
      <c r="NEV5" s="146"/>
      <c r="NEW5" s="146"/>
      <c r="NEX5" s="146"/>
      <c r="NEY5" s="146"/>
      <c r="NEZ5" s="146"/>
      <c r="NFA5" s="146"/>
      <c r="NFB5" s="146"/>
      <c r="NFC5" s="146"/>
      <c r="NFD5" s="146"/>
      <c r="NFE5" s="146"/>
      <c r="NFF5" s="146"/>
      <c r="NFG5" s="146"/>
      <c r="NFH5" s="146"/>
      <c r="NFI5" s="146"/>
      <c r="NFJ5" s="146"/>
      <c r="NFK5" s="146"/>
      <c r="NFL5" s="146"/>
      <c r="NFM5" s="146"/>
      <c r="NFN5" s="146"/>
      <c r="NFO5" s="146"/>
      <c r="NFP5" s="146"/>
      <c r="NFQ5" s="146"/>
      <c r="NFR5" s="146"/>
      <c r="NFS5" s="146"/>
      <c r="NFT5" s="146"/>
      <c r="NFU5" s="146"/>
      <c r="NFV5" s="146"/>
      <c r="NFW5" s="146"/>
      <c r="NFX5" s="146"/>
      <c r="NFY5" s="146"/>
      <c r="NFZ5" s="146"/>
      <c r="NGA5" s="146"/>
      <c r="NGB5" s="146"/>
      <c r="NGC5" s="146"/>
      <c r="NGD5" s="146"/>
      <c r="NGE5" s="146"/>
      <c r="NGF5" s="146"/>
      <c r="NGG5" s="146"/>
      <c r="NGH5" s="146"/>
      <c r="NGI5" s="146"/>
      <c r="NGJ5" s="146"/>
      <c r="NGK5" s="146"/>
      <c r="NGL5" s="146"/>
      <c r="NGM5" s="146"/>
      <c r="NGN5" s="146"/>
      <c r="NGO5" s="146"/>
      <c r="NGP5" s="146"/>
      <c r="NGQ5" s="146"/>
      <c r="NGR5" s="146"/>
      <c r="NGS5" s="146"/>
      <c r="NGT5" s="146"/>
      <c r="NGU5" s="146"/>
      <c r="NGV5" s="146"/>
      <c r="NGW5" s="146"/>
      <c r="NGX5" s="146"/>
      <c r="NGY5" s="146"/>
      <c r="NGZ5" s="146"/>
      <c r="NHA5" s="146"/>
      <c r="NHB5" s="146"/>
      <c r="NHC5" s="146"/>
      <c r="NHD5" s="146"/>
      <c r="NHE5" s="146"/>
      <c r="NHF5" s="146"/>
      <c r="NHG5" s="146"/>
      <c r="NHH5" s="146"/>
      <c r="NHI5" s="146"/>
      <c r="NHJ5" s="146"/>
      <c r="NHK5" s="146"/>
      <c r="NHL5" s="146"/>
      <c r="NHM5" s="146"/>
      <c r="NHN5" s="146"/>
      <c r="NHO5" s="146"/>
      <c r="NHP5" s="146"/>
      <c r="NHQ5" s="146"/>
      <c r="NHR5" s="146"/>
      <c r="NHS5" s="146"/>
      <c r="NHT5" s="146"/>
      <c r="NHU5" s="146"/>
      <c r="NHV5" s="146"/>
      <c r="NHW5" s="146"/>
      <c r="NHX5" s="146"/>
      <c r="NHY5" s="146"/>
      <c r="NHZ5" s="146"/>
      <c r="NIA5" s="146"/>
      <c r="NIB5" s="146"/>
      <c r="NIC5" s="146"/>
      <c r="NID5" s="146"/>
      <c r="NIE5" s="146"/>
      <c r="NIF5" s="146"/>
      <c r="NIG5" s="146"/>
      <c r="NIH5" s="146"/>
      <c r="NII5" s="146"/>
      <c r="NIJ5" s="146"/>
      <c r="NIK5" s="146"/>
      <c r="NIL5" s="146"/>
      <c r="NIM5" s="146"/>
      <c r="NIN5" s="146"/>
      <c r="NIO5" s="146"/>
      <c r="NIP5" s="146"/>
      <c r="NIQ5" s="146"/>
      <c r="NIR5" s="146"/>
      <c r="NIS5" s="146"/>
      <c r="NIT5" s="146"/>
      <c r="NIU5" s="146"/>
      <c r="NIV5" s="146"/>
      <c r="NIW5" s="146"/>
      <c r="NIX5" s="146"/>
      <c r="NIY5" s="146"/>
      <c r="NIZ5" s="146"/>
      <c r="NJA5" s="146"/>
      <c r="NJB5" s="146"/>
      <c r="NJC5" s="146"/>
      <c r="NJD5" s="146"/>
      <c r="NJE5" s="146"/>
      <c r="NJF5" s="146"/>
      <c r="NJG5" s="146"/>
      <c r="NJH5" s="146"/>
      <c r="NJI5" s="146"/>
      <c r="NJJ5" s="146"/>
      <c r="NJK5" s="146"/>
      <c r="NJL5" s="146"/>
      <c r="NJM5" s="146"/>
      <c r="NJN5" s="146"/>
      <c r="NJO5" s="146"/>
      <c r="NJP5" s="146"/>
      <c r="NJQ5" s="146"/>
      <c r="NJR5" s="146"/>
      <c r="NJS5" s="146"/>
      <c r="NJT5" s="146"/>
      <c r="NJU5" s="146"/>
      <c r="NJV5" s="146"/>
      <c r="NJW5" s="146"/>
      <c r="NJX5" s="146"/>
      <c r="NJY5" s="146"/>
      <c r="NJZ5" s="146"/>
      <c r="NKA5" s="146"/>
      <c r="NKB5" s="146"/>
      <c r="NKC5" s="146"/>
      <c r="NKD5" s="146"/>
      <c r="NKE5" s="146"/>
      <c r="NKF5" s="146"/>
      <c r="NKG5" s="146"/>
      <c r="NKH5" s="146"/>
      <c r="NKI5" s="146"/>
      <c r="NKJ5" s="146"/>
      <c r="NKK5" s="146"/>
      <c r="NKL5" s="146"/>
      <c r="NKM5" s="146"/>
      <c r="NKN5" s="146"/>
      <c r="NKO5" s="146"/>
      <c r="NKP5" s="146"/>
      <c r="NKQ5" s="146"/>
      <c r="NKR5" s="146"/>
      <c r="NKS5" s="146"/>
      <c r="NKT5" s="146"/>
      <c r="NKU5" s="146"/>
      <c r="NKV5" s="146"/>
      <c r="NKW5" s="146"/>
      <c r="NKX5" s="146"/>
      <c r="NKY5" s="146"/>
      <c r="NKZ5" s="146"/>
      <c r="NLA5" s="146"/>
      <c r="NLB5" s="146"/>
      <c r="NLC5" s="146"/>
      <c r="NLD5" s="146"/>
      <c r="NLE5" s="146"/>
      <c r="NLF5" s="146"/>
      <c r="NLG5" s="146"/>
      <c r="NLH5" s="146"/>
      <c r="NLI5" s="146"/>
      <c r="NLJ5" s="146"/>
      <c r="NLK5" s="146"/>
      <c r="NLL5" s="146"/>
      <c r="NLM5" s="146"/>
      <c r="NLN5" s="146"/>
      <c r="NLO5" s="146"/>
      <c r="NLP5" s="146"/>
      <c r="NLQ5" s="146"/>
      <c r="NLR5" s="146"/>
      <c r="NLS5" s="146"/>
      <c r="NLT5" s="146"/>
      <c r="NLU5" s="146"/>
      <c r="NLV5" s="146"/>
      <c r="NLW5" s="146"/>
      <c r="NLX5" s="146"/>
      <c r="NLY5" s="146"/>
      <c r="NLZ5" s="146"/>
      <c r="NMA5" s="146"/>
      <c r="NMB5" s="146"/>
      <c r="NMC5" s="146"/>
      <c r="NMD5" s="146"/>
      <c r="NME5" s="146"/>
      <c r="NMF5" s="146"/>
      <c r="NMG5" s="146"/>
      <c r="NMH5" s="146"/>
      <c r="NMI5" s="146"/>
      <c r="NMJ5" s="146"/>
      <c r="NMK5" s="146"/>
      <c r="NML5" s="146"/>
      <c r="NMM5" s="146"/>
      <c r="NMN5" s="146"/>
      <c r="NMO5" s="146"/>
      <c r="NMP5" s="146"/>
      <c r="NMQ5" s="146"/>
      <c r="NMR5" s="146"/>
      <c r="NMS5" s="146"/>
      <c r="NMT5" s="146"/>
      <c r="NMU5" s="146"/>
      <c r="NMV5" s="146"/>
      <c r="NMW5" s="146"/>
      <c r="NMX5" s="146"/>
      <c r="NMY5" s="146"/>
      <c r="NMZ5" s="146"/>
      <c r="NNA5" s="146"/>
      <c r="NNB5" s="146"/>
      <c r="NNC5" s="146"/>
      <c r="NND5" s="146"/>
      <c r="NNE5" s="146"/>
      <c r="NNF5" s="146"/>
      <c r="NNG5" s="146"/>
      <c r="NNH5" s="146"/>
      <c r="NNI5" s="146"/>
      <c r="NNJ5" s="146"/>
      <c r="NNK5" s="146"/>
      <c r="NNL5" s="146"/>
      <c r="NNM5" s="146"/>
      <c r="NNN5" s="146"/>
      <c r="NNO5" s="146"/>
      <c r="NNP5" s="146"/>
      <c r="NNQ5" s="146"/>
      <c r="NNR5" s="146"/>
      <c r="NNS5" s="146"/>
      <c r="NNT5" s="146"/>
      <c r="NNU5" s="146"/>
      <c r="NNV5" s="146"/>
      <c r="NNW5" s="146"/>
      <c r="NNX5" s="146"/>
      <c r="NNY5" s="146"/>
      <c r="NNZ5" s="146"/>
      <c r="NOA5" s="146"/>
      <c r="NOB5" s="146"/>
      <c r="NOC5" s="146"/>
      <c r="NOD5" s="146"/>
      <c r="NOE5" s="146"/>
      <c r="NOF5" s="146"/>
      <c r="NOG5" s="146"/>
      <c r="NOH5" s="146"/>
      <c r="NOI5" s="146"/>
      <c r="NOJ5" s="146"/>
      <c r="NOK5" s="146"/>
      <c r="NOL5" s="146"/>
      <c r="NOM5" s="146"/>
      <c r="NON5" s="146"/>
      <c r="NOO5" s="146"/>
      <c r="NOP5" s="146"/>
      <c r="NOQ5" s="146"/>
      <c r="NOR5" s="146"/>
      <c r="NOS5" s="146"/>
      <c r="NOT5" s="146"/>
      <c r="NOU5" s="146"/>
      <c r="NOV5" s="146"/>
      <c r="NOW5" s="146"/>
      <c r="NOX5" s="146"/>
      <c r="NOY5" s="146"/>
      <c r="NOZ5" s="146"/>
      <c r="NPA5" s="146"/>
      <c r="NPB5" s="146"/>
      <c r="NPC5" s="146"/>
      <c r="NPD5" s="146"/>
      <c r="NPE5" s="146"/>
      <c r="NPF5" s="146"/>
      <c r="NPG5" s="146"/>
      <c r="NPH5" s="146"/>
      <c r="NPI5" s="146"/>
      <c r="NPJ5" s="146"/>
      <c r="NPK5" s="146"/>
      <c r="NPL5" s="146"/>
      <c r="NPM5" s="146"/>
      <c r="NPN5" s="146"/>
      <c r="NPO5" s="146"/>
      <c r="NPP5" s="146"/>
      <c r="NPQ5" s="146"/>
      <c r="NPR5" s="146"/>
      <c r="NPS5" s="146"/>
      <c r="NPT5" s="146"/>
      <c r="NPU5" s="146"/>
      <c r="NPV5" s="146"/>
      <c r="NPW5" s="146"/>
      <c r="NPX5" s="146"/>
      <c r="NPY5" s="146"/>
      <c r="NPZ5" s="146"/>
      <c r="NQA5" s="146"/>
      <c r="NQB5" s="146"/>
      <c r="NQC5" s="146"/>
      <c r="NQD5" s="146"/>
      <c r="NQE5" s="146"/>
      <c r="NQF5" s="146"/>
      <c r="NQG5" s="146"/>
      <c r="NQH5" s="146"/>
      <c r="NQI5" s="146"/>
      <c r="NQJ5" s="146"/>
      <c r="NQK5" s="146"/>
      <c r="NQL5" s="146"/>
      <c r="NQM5" s="146"/>
      <c r="NQN5" s="146"/>
      <c r="NQO5" s="146"/>
      <c r="NQP5" s="146"/>
      <c r="NQQ5" s="146"/>
      <c r="NQR5" s="146"/>
      <c r="NQS5" s="146"/>
      <c r="NQT5" s="146"/>
      <c r="NQU5" s="146"/>
      <c r="NQV5" s="146"/>
      <c r="NQW5" s="146"/>
      <c r="NQX5" s="146"/>
      <c r="NQY5" s="146"/>
      <c r="NQZ5" s="146"/>
      <c r="NRA5" s="146"/>
      <c r="NRB5" s="146"/>
      <c r="NRC5" s="146"/>
      <c r="NRD5" s="146"/>
      <c r="NRE5" s="146"/>
      <c r="NRF5" s="146"/>
      <c r="NRG5" s="146"/>
      <c r="NRH5" s="146"/>
      <c r="NRI5" s="146"/>
      <c r="NRJ5" s="146"/>
      <c r="NRK5" s="146"/>
      <c r="NRL5" s="146"/>
      <c r="NRM5" s="146"/>
      <c r="NRN5" s="146"/>
      <c r="NRO5" s="146"/>
      <c r="NRP5" s="146"/>
      <c r="NRQ5" s="146"/>
      <c r="NRR5" s="146"/>
      <c r="NRS5" s="146"/>
      <c r="NRT5" s="146"/>
      <c r="NRU5" s="146"/>
      <c r="NRV5" s="146"/>
      <c r="NRW5" s="146"/>
      <c r="NRX5" s="146"/>
      <c r="NRY5" s="146"/>
      <c r="NRZ5" s="146"/>
      <c r="NSA5" s="146"/>
      <c r="NSB5" s="146"/>
      <c r="NSC5" s="146"/>
      <c r="NSD5" s="146"/>
      <c r="NSE5" s="146"/>
      <c r="NSF5" s="146"/>
      <c r="NSG5" s="146"/>
      <c r="NSH5" s="146"/>
      <c r="NSI5" s="146"/>
      <c r="NSJ5" s="146"/>
      <c r="NSK5" s="146"/>
      <c r="NSL5" s="146"/>
      <c r="NSM5" s="146"/>
      <c r="NSN5" s="146"/>
      <c r="NSO5" s="146"/>
      <c r="NSP5" s="146"/>
      <c r="NSQ5" s="146"/>
      <c r="NSR5" s="146"/>
      <c r="NSS5" s="146"/>
      <c r="NST5" s="146"/>
      <c r="NSU5" s="146"/>
      <c r="NSV5" s="146"/>
      <c r="NSW5" s="146"/>
      <c r="NSX5" s="146"/>
      <c r="NSY5" s="146"/>
      <c r="NSZ5" s="146"/>
      <c r="NTA5" s="146"/>
      <c r="NTB5" s="146"/>
      <c r="NTC5" s="146"/>
      <c r="NTD5" s="146"/>
      <c r="NTE5" s="146"/>
      <c r="NTF5" s="146"/>
      <c r="NTG5" s="146"/>
      <c r="NTH5" s="146"/>
      <c r="NTI5" s="146"/>
      <c r="NTJ5" s="146"/>
      <c r="NTK5" s="146"/>
      <c r="NTL5" s="146"/>
      <c r="NTM5" s="146"/>
      <c r="NTN5" s="146"/>
      <c r="NTO5" s="146"/>
      <c r="NTP5" s="146"/>
      <c r="NTQ5" s="146"/>
      <c r="NTR5" s="146"/>
      <c r="NTS5" s="146"/>
      <c r="NTT5" s="146"/>
      <c r="NTU5" s="146"/>
      <c r="NTV5" s="146"/>
      <c r="NTW5" s="146"/>
      <c r="NTX5" s="146"/>
      <c r="NTY5" s="146"/>
      <c r="NTZ5" s="146"/>
      <c r="NUA5" s="146"/>
      <c r="NUB5" s="146"/>
      <c r="NUC5" s="146"/>
      <c r="NUD5" s="146"/>
      <c r="NUE5" s="146"/>
      <c r="NUF5" s="146"/>
      <c r="NUG5" s="146"/>
      <c r="NUH5" s="146"/>
      <c r="NUI5" s="146"/>
      <c r="NUJ5" s="146"/>
      <c r="NUK5" s="146"/>
      <c r="NUL5" s="146"/>
      <c r="NUM5" s="146"/>
      <c r="NUN5" s="146"/>
      <c r="NUO5" s="146"/>
      <c r="NUP5" s="146"/>
      <c r="NUQ5" s="146"/>
      <c r="NUR5" s="146"/>
      <c r="NUS5" s="146"/>
      <c r="NUT5" s="146"/>
      <c r="NUU5" s="146"/>
      <c r="NUV5" s="146"/>
      <c r="NUW5" s="146"/>
      <c r="NUX5" s="146"/>
      <c r="NUY5" s="146"/>
      <c r="NUZ5" s="146"/>
      <c r="NVA5" s="146"/>
      <c r="NVB5" s="146"/>
      <c r="NVC5" s="146"/>
      <c r="NVD5" s="146"/>
      <c r="NVE5" s="146"/>
      <c r="NVF5" s="146"/>
      <c r="NVG5" s="146"/>
      <c r="NVH5" s="146"/>
      <c r="NVI5" s="146"/>
      <c r="NVJ5" s="146"/>
      <c r="NVK5" s="146"/>
      <c r="NVL5" s="146"/>
      <c r="NVM5" s="146"/>
      <c r="NVN5" s="146"/>
      <c r="NVO5" s="146"/>
      <c r="NVP5" s="146"/>
      <c r="NVQ5" s="146"/>
      <c r="NVR5" s="146"/>
      <c r="NVS5" s="146"/>
      <c r="NVT5" s="146"/>
      <c r="NVU5" s="146"/>
      <c r="NVV5" s="146"/>
      <c r="NVW5" s="146"/>
      <c r="NVX5" s="146"/>
      <c r="NVY5" s="146"/>
      <c r="NVZ5" s="146"/>
      <c r="NWA5" s="146"/>
      <c r="NWB5" s="146"/>
      <c r="NWC5" s="146"/>
      <c r="NWD5" s="146"/>
      <c r="NWE5" s="146"/>
      <c r="NWF5" s="146"/>
      <c r="NWG5" s="146"/>
      <c r="NWH5" s="146"/>
      <c r="NWI5" s="146"/>
      <c r="NWJ5" s="146"/>
      <c r="NWK5" s="146"/>
      <c r="NWL5" s="146"/>
      <c r="NWM5" s="146"/>
      <c r="NWN5" s="146"/>
      <c r="NWO5" s="146"/>
      <c r="NWP5" s="146"/>
      <c r="NWQ5" s="146"/>
      <c r="NWR5" s="146"/>
      <c r="NWS5" s="146"/>
      <c r="NWT5" s="146"/>
      <c r="NWU5" s="146"/>
      <c r="NWV5" s="146"/>
      <c r="NWW5" s="146"/>
      <c r="NWX5" s="146"/>
      <c r="NWY5" s="146"/>
      <c r="NWZ5" s="146"/>
      <c r="NXA5" s="146"/>
      <c r="NXB5" s="146"/>
      <c r="NXC5" s="146"/>
      <c r="NXD5" s="146"/>
      <c r="NXE5" s="146"/>
      <c r="NXF5" s="146"/>
      <c r="NXG5" s="146"/>
      <c r="NXH5" s="146"/>
      <c r="NXI5" s="146"/>
      <c r="NXJ5" s="146"/>
      <c r="NXK5" s="146"/>
      <c r="NXL5" s="146"/>
      <c r="NXM5" s="146"/>
      <c r="NXN5" s="146"/>
      <c r="NXO5" s="146"/>
      <c r="NXP5" s="146"/>
      <c r="NXQ5" s="146"/>
      <c r="NXR5" s="146"/>
      <c r="NXS5" s="146"/>
      <c r="NXT5" s="146"/>
      <c r="NXU5" s="146"/>
      <c r="NXV5" s="146"/>
      <c r="NXW5" s="146"/>
      <c r="NXX5" s="146"/>
      <c r="NXY5" s="146"/>
      <c r="NXZ5" s="146"/>
      <c r="NYA5" s="146"/>
      <c r="NYB5" s="146"/>
      <c r="NYC5" s="146"/>
      <c r="NYD5" s="146"/>
      <c r="NYE5" s="146"/>
      <c r="NYF5" s="146"/>
      <c r="NYG5" s="146"/>
      <c r="NYH5" s="146"/>
      <c r="NYI5" s="146"/>
      <c r="NYJ5" s="146"/>
      <c r="NYK5" s="146"/>
      <c r="NYL5" s="146"/>
      <c r="NYM5" s="146"/>
      <c r="NYN5" s="146"/>
      <c r="NYO5" s="146"/>
      <c r="NYP5" s="146"/>
      <c r="NYQ5" s="146"/>
      <c r="NYR5" s="146"/>
      <c r="NYS5" s="146"/>
      <c r="NYT5" s="146"/>
      <c r="NYU5" s="146"/>
      <c r="NYV5" s="146"/>
      <c r="NYW5" s="146"/>
      <c r="NYX5" s="146"/>
      <c r="NYY5" s="146"/>
      <c r="NYZ5" s="146"/>
      <c r="NZA5" s="146"/>
      <c r="NZB5" s="146"/>
      <c r="NZC5" s="146"/>
      <c r="NZD5" s="146"/>
      <c r="NZE5" s="146"/>
      <c r="NZF5" s="146"/>
      <c r="NZG5" s="146"/>
      <c r="NZH5" s="146"/>
      <c r="NZI5" s="146"/>
      <c r="NZJ5" s="146"/>
      <c r="NZK5" s="146"/>
      <c r="NZL5" s="146"/>
      <c r="NZM5" s="146"/>
      <c r="NZN5" s="146"/>
      <c r="NZO5" s="146"/>
      <c r="NZP5" s="146"/>
      <c r="NZQ5" s="146"/>
      <c r="NZR5" s="146"/>
      <c r="NZS5" s="146"/>
      <c r="NZT5" s="146"/>
      <c r="NZU5" s="146"/>
      <c r="NZV5" s="146"/>
      <c r="NZW5" s="146"/>
      <c r="NZX5" s="146"/>
      <c r="NZY5" s="146"/>
      <c r="NZZ5" s="146"/>
      <c r="OAA5" s="146"/>
      <c r="OAB5" s="146"/>
      <c r="OAC5" s="146"/>
      <c r="OAD5" s="146"/>
      <c r="OAE5" s="146"/>
      <c r="OAF5" s="146"/>
      <c r="OAG5" s="146"/>
      <c r="OAH5" s="146"/>
      <c r="OAI5" s="146"/>
      <c r="OAJ5" s="146"/>
      <c r="OAK5" s="146"/>
      <c r="OAL5" s="146"/>
      <c r="OAM5" s="146"/>
      <c r="OAN5" s="146"/>
      <c r="OAO5" s="146"/>
      <c r="OAP5" s="146"/>
      <c r="OAQ5" s="146"/>
      <c r="OAR5" s="146"/>
      <c r="OAS5" s="146"/>
      <c r="OAT5" s="146"/>
      <c r="OAU5" s="146"/>
      <c r="OAV5" s="146"/>
      <c r="OAW5" s="146"/>
      <c r="OAX5" s="146"/>
      <c r="OAY5" s="146"/>
      <c r="OAZ5" s="146"/>
      <c r="OBA5" s="146"/>
      <c r="OBB5" s="146"/>
      <c r="OBC5" s="146"/>
      <c r="OBD5" s="146"/>
      <c r="OBE5" s="146"/>
      <c r="OBF5" s="146"/>
      <c r="OBG5" s="146"/>
      <c r="OBH5" s="146"/>
      <c r="OBI5" s="146"/>
      <c r="OBJ5" s="146"/>
      <c r="OBK5" s="146"/>
      <c r="OBL5" s="146"/>
      <c r="OBM5" s="146"/>
      <c r="OBN5" s="146"/>
      <c r="OBO5" s="146"/>
      <c r="OBP5" s="146"/>
      <c r="OBQ5" s="146"/>
      <c r="OBR5" s="146"/>
      <c r="OBS5" s="146"/>
      <c r="OBT5" s="146"/>
      <c r="OBU5" s="146"/>
      <c r="OBV5" s="146"/>
      <c r="OBW5" s="146"/>
      <c r="OBX5" s="146"/>
      <c r="OBY5" s="146"/>
      <c r="OBZ5" s="146"/>
      <c r="OCA5" s="146"/>
      <c r="OCB5" s="146"/>
      <c r="OCC5" s="146"/>
      <c r="OCD5" s="146"/>
      <c r="OCE5" s="146"/>
      <c r="OCF5" s="146"/>
      <c r="OCG5" s="146"/>
      <c r="OCH5" s="146"/>
      <c r="OCI5" s="146"/>
      <c r="OCJ5" s="146"/>
      <c r="OCK5" s="146"/>
      <c r="OCL5" s="146"/>
      <c r="OCM5" s="146"/>
      <c r="OCN5" s="146"/>
      <c r="OCO5" s="146"/>
      <c r="OCP5" s="146"/>
      <c r="OCQ5" s="146"/>
      <c r="OCR5" s="146"/>
      <c r="OCS5" s="146"/>
      <c r="OCT5" s="146"/>
      <c r="OCU5" s="146"/>
      <c r="OCV5" s="146"/>
      <c r="OCW5" s="146"/>
      <c r="OCX5" s="146"/>
      <c r="OCY5" s="146"/>
      <c r="OCZ5" s="146"/>
      <c r="ODA5" s="146"/>
      <c r="ODB5" s="146"/>
      <c r="ODC5" s="146"/>
      <c r="ODD5" s="146"/>
      <c r="ODE5" s="146"/>
      <c r="ODF5" s="146"/>
      <c r="ODG5" s="146"/>
      <c r="ODH5" s="146"/>
      <c r="ODI5" s="146"/>
      <c r="ODJ5" s="146"/>
      <c r="ODK5" s="146"/>
      <c r="ODL5" s="146"/>
      <c r="ODM5" s="146"/>
      <c r="ODN5" s="146"/>
      <c r="ODO5" s="146"/>
      <c r="ODP5" s="146"/>
      <c r="ODQ5" s="146"/>
      <c r="ODR5" s="146"/>
      <c r="ODS5" s="146"/>
      <c r="ODT5" s="146"/>
      <c r="ODU5" s="146"/>
      <c r="ODV5" s="146"/>
      <c r="ODW5" s="146"/>
      <c r="ODX5" s="146"/>
      <c r="ODY5" s="146"/>
      <c r="ODZ5" s="146"/>
      <c r="OEA5" s="146"/>
      <c r="OEB5" s="146"/>
      <c r="OEC5" s="146"/>
      <c r="OED5" s="146"/>
      <c r="OEE5" s="146"/>
      <c r="OEF5" s="146"/>
      <c r="OEG5" s="146"/>
      <c r="OEH5" s="146"/>
      <c r="OEI5" s="146"/>
      <c r="OEJ5" s="146"/>
      <c r="OEK5" s="146"/>
      <c r="OEL5" s="146"/>
      <c r="OEM5" s="146"/>
      <c r="OEN5" s="146"/>
      <c r="OEO5" s="146"/>
      <c r="OEP5" s="146"/>
      <c r="OEQ5" s="146"/>
      <c r="OER5" s="146"/>
      <c r="OES5" s="146"/>
      <c r="OET5" s="146"/>
      <c r="OEU5" s="146"/>
      <c r="OEV5" s="146"/>
      <c r="OEW5" s="146"/>
      <c r="OEX5" s="146"/>
      <c r="OEY5" s="146"/>
      <c r="OEZ5" s="146"/>
      <c r="OFA5" s="146"/>
      <c r="OFB5" s="146"/>
      <c r="OFC5" s="146"/>
      <c r="OFD5" s="146"/>
      <c r="OFE5" s="146"/>
      <c r="OFF5" s="146"/>
      <c r="OFG5" s="146"/>
      <c r="OFH5" s="146"/>
      <c r="OFI5" s="146"/>
      <c r="OFJ5" s="146"/>
      <c r="OFK5" s="146"/>
      <c r="OFL5" s="146"/>
      <c r="OFM5" s="146"/>
      <c r="OFN5" s="146"/>
      <c r="OFO5" s="146"/>
      <c r="OFP5" s="146"/>
      <c r="OFQ5" s="146"/>
      <c r="OFR5" s="146"/>
      <c r="OFS5" s="146"/>
      <c r="OFT5" s="146"/>
      <c r="OFU5" s="146"/>
      <c r="OFV5" s="146"/>
      <c r="OFW5" s="146"/>
      <c r="OFX5" s="146"/>
      <c r="OFY5" s="146"/>
      <c r="OFZ5" s="146"/>
      <c r="OGA5" s="146"/>
      <c r="OGB5" s="146"/>
      <c r="OGC5" s="146"/>
      <c r="OGD5" s="146"/>
      <c r="OGE5" s="146"/>
      <c r="OGF5" s="146"/>
      <c r="OGG5" s="146"/>
      <c r="OGH5" s="146"/>
      <c r="OGI5" s="146"/>
      <c r="OGJ5" s="146"/>
      <c r="OGK5" s="146"/>
      <c r="OGL5" s="146"/>
      <c r="OGM5" s="146"/>
      <c r="OGN5" s="146"/>
      <c r="OGO5" s="146"/>
      <c r="OGP5" s="146"/>
      <c r="OGQ5" s="146"/>
      <c r="OGR5" s="146"/>
      <c r="OGS5" s="146"/>
      <c r="OGT5" s="146"/>
      <c r="OGU5" s="146"/>
      <c r="OGV5" s="146"/>
      <c r="OGW5" s="146"/>
      <c r="OGX5" s="146"/>
      <c r="OGY5" s="146"/>
      <c r="OGZ5" s="146"/>
      <c r="OHA5" s="146"/>
      <c r="OHB5" s="146"/>
      <c r="OHC5" s="146"/>
      <c r="OHD5" s="146"/>
      <c r="OHE5" s="146"/>
      <c r="OHF5" s="146"/>
      <c r="OHG5" s="146"/>
      <c r="OHH5" s="146"/>
      <c r="OHI5" s="146"/>
      <c r="OHJ5" s="146"/>
      <c r="OHK5" s="146"/>
      <c r="OHL5" s="146"/>
      <c r="OHM5" s="146"/>
      <c r="OHN5" s="146"/>
      <c r="OHO5" s="146"/>
      <c r="OHP5" s="146"/>
      <c r="OHQ5" s="146"/>
      <c r="OHR5" s="146"/>
      <c r="OHS5" s="146"/>
      <c r="OHT5" s="146"/>
      <c r="OHU5" s="146"/>
      <c r="OHV5" s="146"/>
      <c r="OHW5" s="146"/>
      <c r="OHX5" s="146"/>
      <c r="OHY5" s="146"/>
      <c r="OHZ5" s="146"/>
      <c r="OIA5" s="146"/>
      <c r="OIB5" s="146"/>
      <c r="OIC5" s="146"/>
      <c r="OID5" s="146"/>
      <c r="OIE5" s="146"/>
      <c r="OIF5" s="146"/>
      <c r="OIG5" s="146"/>
      <c r="OIH5" s="146"/>
      <c r="OII5" s="146"/>
      <c r="OIJ5" s="146"/>
      <c r="OIK5" s="146"/>
      <c r="OIL5" s="146"/>
      <c r="OIM5" s="146"/>
      <c r="OIN5" s="146"/>
      <c r="OIO5" s="146"/>
      <c r="OIP5" s="146"/>
      <c r="OIQ5" s="146"/>
      <c r="OIR5" s="146"/>
      <c r="OIS5" s="146"/>
      <c r="OIT5" s="146"/>
      <c r="OIU5" s="146"/>
      <c r="OIV5" s="146"/>
      <c r="OIW5" s="146"/>
      <c r="OIX5" s="146"/>
      <c r="OIY5" s="146"/>
      <c r="OIZ5" s="146"/>
      <c r="OJA5" s="146"/>
      <c r="OJB5" s="146"/>
      <c r="OJC5" s="146"/>
      <c r="OJD5" s="146"/>
      <c r="OJE5" s="146"/>
      <c r="OJF5" s="146"/>
      <c r="OJG5" s="146"/>
      <c r="OJH5" s="146"/>
      <c r="OJI5" s="146"/>
      <c r="OJJ5" s="146"/>
      <c r="OJK5" s="146"/>
      <c r="OJL5" s="146"/>
      <c r="OJM5" s="146"/>
      <c r="OJN5" s="146"/>
      <c r="OJO5" s="146"/>
      <c r="OJP5" s="146"/>
      <c r="OJQ5" s="146"/>
      <c r="OJR5" s="146"/>
      <c r="OJS5" s="146"/>
      <c r="OJT5" s="146"/>
      <c r="OJU5" s="146"/>
      <c r="OJV5" s="146"/>
      <c r="OJW5" s="146"/>
      <c r="OJX5" s="146"/>
      <c r="OJY5" s="146"/>
      <c r="OJZ5" s="146"/>
      <c r="OKA5" s="146"/>
      <c r="OKB5" s="146"/>
      <c r="OKC5" s="146"/>
      <c r="OKD5" s="146"/>
      <c r="OKE5" s="146"/>
      <c r="OKF5" s="146"/>
      <c r="OKG5" s="146"/>
      <c r="OKH5" s="146"/>
      <c r="OKI5" s="146"/>
      <c r="OKJ5" s="146"/>
      <c r="OKK5" s="146"/>
      <c r="OKL5" s="146"/>
      <c r="OKM5" s="146"/>
      <c r="OKN5" s="146"/>
      <c r="OKO5" s="146"/>
      <c r="OKP5" s="146"/>
      <c r="OKQ5" s="146"/>
      <c r="OKR5" s="146"/>
      <c r="OKS5" s="146"/>
      <c r="OKT5" s="146"/>
      <c r="OKU5" s="146"/>
      <c r="OKV5" s="146"/>
      <c r="OKW5" s="146"/>
      <c r="OKX5" s="146"/>
      <c r="OKY5" s="146"/>
      <c r="OKZ5" s="146"/>
      <c r="OLA5" s="146"/>
      <c r="OLB5" s="146"/>
      <c r="OLC5" s="146"/>
      <c r="OLD5" s="146"/>
      <c r="OLE5" s="146"/>
      <c r="OLF5" s="146"/>
      <c r="OLG5" s="146"/>
      <c r="OLH5" s="146"/>
      <c r="OLI5" s="146"/>
      <c r="OLJ5" s="146"/>
      <c r="OLK5" s="146"/>
      <c r="OLL5" s="146"/>
      <c r="OLM5" s="146"/>
      <c r="OLN5" s="146"/>
      <c r="OLO5" s="146"/>
      <c r="OLP5" s="146"/>
      <c r="OLQ5" s="146"/>
      <c r="OLR5" s="146"/>
      <c r="OLS5" s="146"/>
      <c r="OLT5" s="146"/>
      <c r="OLU5" s="146"/>
      <c r="OLV5" s="146"/>
      <c r="OLW5" s="146"/>
      <c r="OLX5" s="146"/>
      <c r="OLY5" s="146"/>
      <c r="OLZ5" s="146"/>
      <c r="OMA5" s="146"/>
      <c r="OMB5" s="146"/>
      <c r="OMC5" s="146"/>
      <c r="OMD5" s="146"/>
      <c r="OME5" s="146"/>
      <c r="OMF5" s="146"/>
      <c r="OMG5" s="146"/>
      <c r="OMH5" s="146"/>
      <c r="OMI5" s="146"/>
      <c r="OMJ5" s="146"/>
      <c r="OMK5" s="146"/>
      <c r="OML5" s="146"/>
      <c r="OMM5" s="146"/>
      <c r="OMN5" s="146"/>
      <c r="OMO5" s="146"/>
      <c r="OMP5" s="146"/>
      <c r="OMQ5" s="146"/>
      <c r="OMR5" s="146"/>
      <c r="OMS5" s="146"/>
      <c r="OMT5" s="146"/>
      <c r="OMU5" s="146"/>
      <c r="OMV5" s="146"/>
      <c r="OMW5" s="146"/>
      <c r="OMX5" s="146"/>
      <c r="OMY5" s="146"/>
      <c r="OMZ5" s="146"/>
      <c r="ONA5" s="146"/>
      <c r="ONB5" s="146"/>
      <c r="ONC5" s="146"/>
      <c r="OND5" s="146"/>
      <c r="ONE5" s="146"/>
      <c r="ONF5" s="146"/>
      <c r="ONG5" s="146"/>
      <c r="ONH5" s="146"/>
      <c r="ONI5" s="146"/>
      <c r="ONJ5" s="146"/>
      <c r="ONK5" s="146"/>
      <c r="ONL5" s="146"/>
      <c r="ONM5" s="146"/>
      <c r="ONN5" s="146"/>
      <c r="ONO5" s="146"/>
      <c r="ONP5" s="146"/>
      <c r="ONQ5" s="146"/>
      <c r="ONR5" s="146"/>
      <c r="ONS5" s="146"/>
      <c r="ONT5" s="146"/>
      <c r="ONU5" s="146"/>
      <c r="ONV5" s="146"/>
      <c r="ONW5" s="146"/>
      <c r="ONX5" s="146"/>
      <c r="ONY5" s="146"/>
      <c r="ONZ5" s="146"/>
      <c r="OOA5" s="146"/>
      <c r="OOB5" s="146"/>
      <c r="OOC5" s="146"/>
      <c r="OOD5" s="146"/>
      <c r="OOE5" s="146"/>
      <c r="OOF5" s="146"/>
      <c r="OOG5" s="146"/>
      <c r="OOH5" s="146"/>
      <c r="OOI5" s="146"/>
      <c r="OOJ5" s="146"/>
      <c r="OOK5" s="146"/>
      <c r="OOL5" s="146"/>
      <c r="OOM5" s="146"/>
      <c r="OON5" s="146"/>
      <c r="OOO5" s="146"/>
      <c r="OOP5" s="146"/>
      <c r="OOQ5" s="146"/>
      <c r="OOR5" s="146"/>
      <c r="OOS5" s="146"/>
      <c r="OOT5" s="146"/>
      <c r="OOU5" s="146"/>
      <c r="OOV5" s="146"/>
      <c r="OOW5" s="146"/>
      <c r="OOX5" s="146"/>
      <c r="OOY5" s="146"/>
      <c r="OOZ5" s="146"/>
      <c r="OPA5" s="146"/>
      <c r="OPB5" s="146"/>
      <c r="OPC5" s="146"/>
      <c r="OPD5" s="146"/>
      <c r="OPE5" s="146"/>
      <c r="OPF5" s="146"/>
      <c r="OPG5" s="146"/>
      <c r="OPH5" s="146"/>
      <c r="OPI5" s="146"/>
      <c r="OPJ5" s="146"/>
      <c r="OPK5" s="146"/>
      <c r="OPL5" s="146"/>
      <c r="OPM5" s="146"/>
      <c r="OPN5" s="146"/>
      <c r="OPO5" s="146"/>
      <c r="OPP5" s="146"/>
      <c r="OPQ5" s="146"/>
      <c r="OPR5" s="146"/>
      <c r="OPS5" s="146"/>
      <c r="OPT5" s="146"/>
      <c r="OPU5" s="146"/>
      <c r="OPV5" s="146"/>
      <c r="OPW5" s="146"/>
      <c r="OPX5" s="146"/>
      <c r="OPY5" s="146"/>
      <c r="OPZ5" s="146"/>
      <c r="OQA5" s="146"/>
      <c r="OQB5" s="146"/>
      <c r="OQC5" s="146"/>
      <c r="OQD5" s="146"/>
      <c r="OQE5" s="146"/>
      <c r="OQF5" s="146"/>
      <c r="OQG5" s="146"/>
      <c r="OQH5" s="146"/>
      <c r="OQI5" s="146"/>
      <c r="OQJ5" s="146"/>
      <c r="OQK5" s="146"/>
      <c r="OQL5" s="146"/>
      <c r="OQM5" s="146"/>
      <c r="OQN5" s="146"/>
      <c r="OQO5" s="146"/>
      <c r="OQP5" s="146"/>
      <c r="OQQ5" s="146"/>
      <c r="OQR5" s="146"/>
      <c r="OQS5" s="146"/>
      <c r="OQT5" s="146"/>
      <c r="OQU5" s="146"/>
      <c r="OQV5" s="146"/>
      <c r="OQW5" s="146"/>
      <c r="OQX5" s="146"/>
      <c r="OQY5" s="146"/>
      <c r="OQZ5" s="146"/>
      <c r="ORA5" s="146"/>
      <c r="ORB5" s="146"/>
      <c r="ORC5" s="146"/>
      <c r="ORD5" s="146"/>
      <c r="ORE5" s="146"/>
      <c r="ORF5" s="146"/>
      <c r="ORG5" s="146"/>
      <c r="ORH5" s="146"/>
      <c r="ORI5" s="146"/>
      <c r="ORJ5" s="146"/>
      <c r="ORK5" s="146"/>
      <c r="ORL5" s="146"/>
      <c r="ORM5" s="146"/>
      <c r="ORN5" s="146"/>
      <c r="ORO5" s="146"/>
      <c r="ORP5" s="146"/>
      <c r="ORQ5" s="146"/>
      <c r="ORR5" s="146"/>
      <c r="ORS5" s="146"/>
      <c r="ORT5" s="146"/>
      <c r="ORU5" s="146"/>
      <c r="ORV5" s="146"/>
      <c r="ORW5" s="146"/>
      <c r="ORX5" s="146"/>
      <c r="ORY5" s="146"/>
      <c r="ORZ5" s="146"/>
      <c r="OSA5" s="146"/>
      <c r="OSB5" s="146"/>
      <c r="OSC5" s="146"/>
      <c r="OSD5" s="146"/>
      <c r="OSE5" s="146"/>
      <c r="OSF5" s="146"/>
      <c r="OSG5" s="146"/>
      <c r="OSH5" s="146"/>
      <c r="OSI5" s="146"/>
      <c r="OSJ5" s="146"/>
      <c r="OSK5" s="146"/>
      <c r="OSL5" s="146"/>
      <c r="OSM5" s="146"/>
      <c r="OSN5" s="146"/>
      <c r="OSO5" s="146"/>
      <c r="OSP5" s="146"/>
      <c r="OSQ5" s="146"/>
      <c r="OSR5" s="146"/>
      <c r="OSS5" s="146"/>
      <c r="OST5" s="146"/>
      <c r="OSU5" s="146"/>
      <c r="OSV5" s="146"/>
      <c r="OSW5" s="146"/>
      <c r="OSX5" s="146"/>
      <c r="OSY5" s="146"/>
      <c r="OSZ5" s="146"/>
      <c r="OTA5" s="146"/>
      <c r="OTB5" s="146"/>
      <c r="OTC5" s="146"/>
      <c r="OTD5" s="146"/>
      <c r="OTE5" s="146"/>
      <c r="OTF5" s="146"/>
      <c r="OTG5" s="146"/>
      <c r="OTH5" s="146"/>
      <c r="OTI5" s="146"/>
      <c r="OTJ5" s="146"/>
      <c r="OTK5" s="146"/>
      <c r="OTL5" s="146"/>
      <c r="OTM5" s="146"/>
      <c r="OTN5" s="146"/>
      <c r="OTO5" s="146"/>
      <c r="OTP5" s="146"/>
      <c r="OTQ5" s="146"/>
      <c r="OTR5" s="146"/>
      <c r="OTS5" s="146"/>
      <c r="OTT5" s="146"/>
      <c r="OTU5" s="146"/>
      <c r="OTV5" s="146"/>
      <c r="OTW5" s="146"/>
      <c r="OTX5" s="146"/>
      <c r="OTY5" s="146"/>
      <c r="OTZ5" s="146"/>
      <c r="OUA5" s="146"/>
      <c r="OUB5" s="146"/>
      <c r="OUC5" s="146"/>
      <c r="OUD5" s="146"/>
      <c r="OUE5" s="146"/>
      <c r="OUF5" s="146"/>
      <c r="OUG5" s="146"/>
      <c r="OUH5" s="146"/>
      <c r="OUI5" s="146"/>
      <c r="OUJ5" s="146"/>
      <c r="OUK5" s="146"/>
      <c r="OUL5" s="146"/>
      <c r="OUM5" s="146"/>
      <c r="OUN5" s="146"/>
      <c r="OUO5" s="146"/>
      <c r="OUP5" s="146"/>
      <c r="OUQ5" s="146"/>
      <c r="OUR5" s="146"/>
      <c r="OUS5" s="146"/>
      <c r="OUT5" s="146"/>
      <c r="OUU5" s="146"/>
      <c r="OUV5" s="146"/>
      <c r="OUW5" s="146"/>
      <c r="OUX5" s="146"/>
      <c r="OUY5" s="146"/>
      <c r="OUZ5" s="146"/>
      <c r="OVA5" s="146"/>
      <c r="OVB5" s="146"/>
      <c r="OVC5" s="146"/>
      <c r="OVD5" s="146"/>
      <c r="OVE5" s="146"/>
      <c r="OVF5" s="146"/>
      <c r="OVG5" s="146"/>
      <c r="OVH5" s="146"/>
      <c r="OVI5" s="146"/>
      <c r="OVJ5" s="146"/>
      <c r="OVK5" s="146"/>
      <c r="OVL5" s="146"/>
      <c r="OVM5" s="146"/>
      <c r="OVN5" s="146"/>
      <c r="OVO5" s="146"/>
      <c r="OVP5" s="146"/>
      <c r="OVQ5" s="146"/>
      <c r="OVR5" s="146"/>
      <c r="OVS5" s="146"/>
      <c r="OVT5" s="146"/>
      <c r="OVU5" s="146"/>
      <c r="OVV5" s="146"/>
      <c r="OVW5" s="146"/>
      <c r="OVX5" s="146"/>
      <c r="OVY5" s="146"/>
      <c r="OVZ5" s="146"/>
      <c r="OWA5" s="146"/>
      <c r="OWB5" s="146"/>
      <c r="OWC5" s="146"/>
      <c r="OWD5" s="146"/>
      <c r="OWE5" s="146"/>
      <c r="OWF5" s="146"/>
      <c r="OWG5" s="146"/>
      <c r="OWH5" s="146"/>
      <c r="OWI5" s="146"/>
      <c r="OWJ5" s="146"/>
      <c r="OWK5" s="146"/>
      <c r="OWL5" s="146"/>
      <c r="OWM5" s="146"/>
      <c r="OWN5" s="146"/>
      <c r="OWO5" s="146"/>
      <c r="OWP5" s="146"/>
      <c r="OWQ5" s="146"/>
      <c r="OWR5" s="146"/>
      <c r="OWS5" s="146"/>
      <c r="OWT5" s="146"/>
      <c r="OWU5" s="146"/>
      <c r="OWV5" s="146"/>
      <c r="OWW5" s="146"/>
      <c r="OWX5" s="146"/>
      <c r="OWY5" s="146"/>
      <c r="OWZ5" s="146"/>
      <c r="OXA5" s="146"/>
      <c r="OXB5" s="146"/>
      <c r="OXC5" s="146"/>
      <c r="OXD5" s="146"/>
      <c r="OXE5" s="146"/>
      <c r="OXF5" s="146"/>
      <c r="OXG5" s="146"/>
      <c r="OXH5" s="146"/>
      <c r="OXI5" s="146"/>
      <c r="OXJ5" s="146"/>
      <c r="OXK5" s="146"/>
      <c r="OXL5" s="146"/>
      <c r="OXM5" s="146"/>
      <c r="OXN5" s="146"/>
      <c r="OXO5" s="146"/>
      <c r="OXP5" s="146"/>
      <c r="OXQ5" s="146"/>
      <c r="OXR5" s="146"/>
      <c r="OXS5" s="146"/>
      <c r="OXT5" s="146"/>
      <c r="OXU5" s="146"/>
      <c r="OXV5" s="146"/>
      <c r="OXW5" s="146"/>
      <c r="OXX5" s="146"/>
      <c r="OXY5" s="146"/>
      <c r="OXZ5" s="146"/>
      <c r="OYA5" s="146"/>
      <c r="OYB5" s="146"/>
      <c r="OYC5" s="146"/>
      <c r="OYD5" s="146"/>
      <c r="OYE5" s="146"/>
      <c r="OYF5" s="146"/>
      <c r="OYG5" s="146"/>
      <c r="OYH5" s="146"/>
      <c r="OYI5" s="146"/>
      <c r="OYJ5" s="146"/>
      <c r="OYK5" s="146"/>
      <c r="OYL5" s="146"/>
      <c r="OYM5" s="146"/>
      <c r="OYN5" s="146"/>
      <c r="OYO5" s="146"/>
      <c r="OYP5" s="146"/>
      <c r="OYQ5" s="146"/>
      <c r="OYR5" s="146"/>
      <c r="OYS5" s="146"/>
      <c r="OYT5" s="146"/>
      <c r="OYU5" s="146"/>
      <c r="OYV5" s="146"/>
      <c r="OYW5" s="146"/>
      <c r="OYX5" s="146"/>
      <c r="OYY5" s="146"/>
      <c r="OYZ5" s="146"/>
      <c r="OZA5" s="146"/>
      <c r="OZB5" s="146"/>
      <c r="OZC5" s="146"/>
      <c r="OZD5" s="146"/>
      <c r="OZE5" s="146"/>
      <c r="OZF5" s="146"/>
      <c r="OZG5" s="146"/>
      <c r="OZH5" s="146"/>
      <c r="OZI5" s="146"/>
      <c r="OZJ5" s="146"/>
      <c r="OZK5" s="146"/>
      <c r="OZL5" s="146"/>
      <c r="OZM5" s="146"/>
      <c r="OZN5" s="146"/>
      <c r="OZO5" s="146"/>
      <c r="OZP5" s="146"/>
      <c r="OZQ5" s="146"/>
      <c r="OZR5" s="146"/>
      <c r="OZS5" s="146"/>
      <c r="OZT5" s="146"/>
      <c r="OZU5" s="146"/>
      <c r="OZV5" s="146"/>
      <c r="OZW5" s="146"/>
      <c r="OZX5" s="146"/>
      <c r="OZY5" s="146"/>
      <c r="OZZ5" s="146"/>
      <c r="PAA5" s="146"/>
      <c r="PAB5" s="146"/>
      <c r="PAC5" s="146"/>
      <c r="PAD5" s="146"/>
      <c r="PAE5" s="146"/>
      <c r="PAF5" s="146"/>
      <c r="PAG5" s="146"/>
      <c r="PAH5" s="146"/>
      <c r="PAI5" s="146"/>
      <c r="PAJ5" s="146"/>
      <c r="PAK5" s="146"/>
      <c r="PAL5" s="146"/>
      <c r="PAM5" s="146"/>
      <c r="PAN5" s="146"/>
      <c r="PAO5" s="146"/>
      <c r="PAP5" s="146"/>
      <c r="PAQ5" s="146"/>
      <c r="PAR5" s="146"/>
      <c r="PAS5" s="146"/>
      <c r="PAT5" s="146"/>
      <c r="PAU5" s="146"/>
      <c r="PAV5" s="146"/>
      <c r="PAW5" s="146"/>
      <c r="PAX5" s="146"/>
      <c r="PAY5" s="146"/>
      <c r="PAZ5" s="146"/>
      <c r="PBA5" s="146"/>
      <c r="PBB5" s="146"/>
      <c r="PBC5" s="146"/>
      <c r="PBD5" s="146"/>
      <c r="PBE5" s="146"/>
      <c r="PBF5" s="146"/>
      <c r="PBG5" s="146"/>
      <c r="PBH5" s="146"/>
      <c r="PBI5" s="146"/>
      <c r="PBJ5" s="146"/>
      <c r="PBK5" s="146"/>
      <c r="PBL5" s="146"/>
      <c r="PBM5" s="146"/>
      <c r="PBN5" s="146"/>
      <c r="PBO5" s="146"/>
      <c r="PBP5" s="146"/>
      <c r="PBQ5" s="146"/>
      <c r="PBR5" s="146"/>
      <c r="PBS5" s="146"/>
      <c r="PBT5" s="146"/>
      <c r="PBU5" s="146"/>
      <c r="PBV5" s="146"/>
      <c r="PBW5" s="146"/>
      <c r="PBX5" s="146"/>
      <c r="PBY5" s="146"/>
      <c r="PBZ5" s="146"/>
      <c r="PCA5" s="146"/>
      <c r="PCB5" s="146"/>
      <c r="PCC5" s="146"/>
      <c r="PCD5" s="146"/>
      <c r="PCE5" s="146"/>
      <c r="PCF5" s="146"/>
      <c r="PCG5" s="146"/>
      <c r="PCH5" s="146"/>
      <c r="PCI5" s="146"/>
      <c r="PCJ5" s="146"/>
      <c r="PCK5" s="146"/>
      <c r="PCL5" s="146"/>
      <c r="PCM5" s="146"/>
      <c r="PCN5" s="146"/>
      <c r="PCO5" s="146"/>
      <c r="PCP5" s="146"/>
      <c r="PCQ5" s="146"/>
      <c r="PCR5" s="146"/>
      <c r="PCS5" s="146"/>
      <c r="PCT5" s="146"/>
      <c r="PCU5" s="146"/>
      <c r="PCV5" s="146"/>
      <c r="PCW5" s="146"/>
      <c r="PCX5" s="146"/>
      <c r="PCY5" s="146"/>
      <c r="PCZ5" s="146"/>
      <c r="PDA5" s="146"/>
      <c r="PDB5" s="146"/>
      <c r="PDC5" s="146"/>
      <c r="PDD5" s="146"/>
      <c r="PDE5" s="146"/>
      <c r="PDF5" s="146"/>
      <c r="PDG5" s="146"/>
      <c r="PDH5" s="146"/>
      <c r="PDI5" s="146"/>
      <c r="PDJ5" s="146"/>
      <c r="PDK5" s="146"/>
      <c r="PDL5" s="146"/>
      <c r="PDM5" s="146"/>
      <c r="PDN5" s="146"/>
      <c r="PDO5" s="146"/>
      <c r="PDP5" s="146"/>
      <c r="PDQ5" s="146"/>
      <c r="PDR5" s="146"/>
      <c r="PDS5" s="146"/>
      <c r="PDT5" s="146"/>
      <c r="PDU5" s="146"/>
      <c r="PDV5" s="146"/>
      <c r="PDW5" s="146"/>
      <c r="PDX5" s="146"/>
      <c r="PDY5" s="146"/>
      <c r="PDZ5" s="146"/>
      <c r="PEA5" s="146"/>
      <c r="PEB5" s="146"/>
      <c r="PEC5" s="146"/>
      <c r="PED5" s="146"/>
      <c r="PEE5" s="146"/>
      <c r="PEF5" s="146"/>
      <c r="PEG5" s="146"/>
      <c r="PEH5" s="146"/>
      <c r="PEI5" s="146"/>
      <c r="PEJ5" s="146"/>
      <c r="PEK5" s="146"/>
      <c r="PEL5" s="146"/>
      <c r="PEM5" s="146"/>
      <c r="PEN5" s="146"/>
      <c r="PEO5" s="146"/>
      <c r="PEP5" s="146"/>
      <c r="PEQ5" s="146"/>
      <c r="PER5" s="146"/>
      <c r="PES5" s="146"/>
      <c r="PET5" s="146"/>
      <c r="PEU5" s="146"/>
      <c r="PEV5" s="146"/>
      <c r="PEW5" s="146"/>
      <c r="PEX5" s="146"/>
      <c r="PEY5" s="146"/>
      <c r="PEZ5" s="146"/>
      <c r="PFA5" s="146"/>
      <c r="PFB5" s="146"/>
      <c r="PFC5" s="146"/>
      <c r="PFD5" s="146"/>
      <c r="PFE5" s="146"/>
      <c r="PFF5" s="146"/>
      <c r="PFG5" s="146"/>
      <c r="PFH5" s="146"/>
      <c r="PFI5" s="146"/>
      <c r="PFJ5" s="146"/>
      <c r="PFK5" s="146"/>
      <c r="PFL5" s="146"/>
      <c r="PFM5" s="146"/>
      <c r="PFN5" s="146"/>
      <c r="PFO5" s="146"/>
      <c r="PFP5" s="146"/>
      <c r="PFQ5" s="146"/>
      <c r="PFR5" s="146"/>
      <c r="PFS5" s="146"/>
      <c r="PFT5" s="146"/>
      <c r="PFU5" s="146"/>
      <c r="PFV5" s="146"/>
      <c r="PFW5" s="146"/>
      <c r="PFX5" s="146"/>
      <c r="PFY5" s="146"/>
      <c r="PFZ5" s="146"/>
      <c r="PGA5" s="146"/>
      <c r="PGB5" s="146"/>
      <c r="PGC5" s="146"/>
      <c r="PGD5" s="146"/>
      <c r="PGE5" s="146"/>
      <c r="PGF5" s="146"/>
      <c r="PGG5" s="146"/>
      <c r="PGH5" s="146"/>
      <c r="PGI5" s="146"/>
      <c r="PGJ5" s="146"/>
      <c r="PGK5" s="146"/>
      <c r="PGL5" s="146"/>
      <c r="PGM5" s="146"/>
      <c r="PGN5" s="146"/>
      <c r="PGO5" s="146"/>
      <c r="PGP5" s="146"/>
      <c r="PGQ5" s="146"/>
      <c r="PGR5" s="146"/>
      <c r="PGS5" s="146"/>
      <c r="PGT5" s="146"/>
      <c r="PGU5" s="146"/>
      <c r="PGV5" s="146"/>
      <c r="PGW5" s="146"/>
      <c r="PGX5" s="146"/>
      <c r="PGY5" s="146"/>
      <c r="PGZ5" s="146"/>
      <c r="PHA5" s="146"/>
      <c r="PHB5" s="146"/>
      <c r="PHC5" s="146"/>
      <c r="PHD5" s="146"/>
      <c r="PHE5" s="146"/>
      <c r="PHF5" s="146"/>
      <c r="PHG5" s="146"/>
      <c r="PHH5" s="146"/>
      <c r="PHI5" s="146"/>
      <c r="PHJ5" s="146"/>
      <c r="PHK5" s="146"/>
      <c r="PHL5" s="146"/>
      <c r="PHM5" s="146"/>
      <c r="PHN5" s="146"/>
      <c r="PHO5" s="146"/>
      <c r="PHP5" s="146"/>
      <c r="PHQ5" s="146"/>
      <c r="PHR5" s="146"/>
      <c r="PHS5" s="146"/>
      <c r="PHT5" s="146"/>
      <c r="PHU5" s="146"/>
      <c r="PHV5" s="146"/>
      <c r="PHW5" s="146"/>
      <c r="PHX5" s="146"/>
      <c r="PHY5" s="146"/>
      <c r="PHZ5" s="146"/>
      <c r="PIA5" s="146"/>
      <c r="PIB5" s="146"/>
      <c r="PIC5" s="146"/>
      <c r="PID5" s="146"/>
      <c r="PIE5" s="146"/>
      <c r="PIF5" s="146"/>
      <c r="PIG5" s="146"/>
      <c r="PIH5" s="146"/>
      <c r="PII5" s="146"/>
      <c r="PIJ5" s="146"/>
      <c r="PIK5" s="146"/>
      <c r="PIL5" s="146"/>
      <c r="PIM5" s="146"/>
      <c r="PIN5" s="146"/>
      <c r="PIO5" s="146"/>
      <c r="PIP5" s="146"/>
      <c r="PIQ5" s="146"/>
      <c r="PIR5" s="146"/>
      <c r="PIS5" s="146"/>
      <c r="PIT5" s="146"/>
      <c r="PIU5" s="146"/>
      <c r="PIV5" s="146"/>
      <c r="PIW5" s="146"/>
      <c r="PIX5" s="146"/>
      <c r="PIY5" s="146"/>
      <c r="PIZ5" s="146"/>
      <c r="PJA5" s="146"/>
      <c r="PJB5" s="146"/>
      <c r="PJC5" s="146"/>
      <c r="PJD5" s="146"/>
      <c r="PJE5" s="146"/>
      <c r="PJF5" s="146"/>
      <c r="PJG5" s="146"/>
      <c r="PJH5" s="146"/>
      <c r="PJI5" s="146"/>
      <c r="PJJ5" s="146"/>
      <c r="PJK5" s="146"/>
      <c r="PJL5" s="146"/>
      <c r="PJM5" s="146"/>
      <c r="PJN5" s="146"/>
      <c r="PJO5" s="146"/>
      <c r="PJP5" s="146"/>
      <c r="PJQ5" s="146"/>
      <c r="PJR5" s="146"/>
      <c r="PJS5" s="146"/>
      <c r="PJT5" s="146"/>
      <c r="PJU5" s="146"/>
      <c r="PJV5" s="146"/>
      <c r="PJW5" s="146"/>
      <c r="PJX5" s="146"/>
      <c r="PJY5" s="146"/>
      <c r="PJZ5" s="146"/>
      <c r="PKA5" s="146"/>
      <c r="PKB5" s="146"/>
      <c r="PKC5" s="146"/>
      <c r="PKD5" s="146"/>
      <c r="PKE5" s="146"/>
      <c r="PKF5" s="146"/>
      <c r="PKG5" s="146"/>
      <c r="PKH5" s="146"/>
      <c r="PKI5" s="146"/>
      <c r="PKJ5" s="146"/>
      <c r="PKK5" s="146"/>
      <c r="PKL5" s="146"/>
      <c r="PKM5" s="146"/>
      <c r="PKN5" s="146"/>
      <c r="PKO5" s="146"/>
      <c r="PKP5" s="146"/>
      <c r="PKQ5" s="146"/>
      <c r="PKR5" s="146"/>
      <c r="PKS5" s="146"/>
      <c r="PKT5" s="146"/>
      <c r="PKU5" s="146"/>
      <c r="PKV5" s="146"/>
      <c r="PKW5" s="146"/>
      <c r="PKX5" s="146"/>
      <c r="PKY5" s="146"/>
      <c r="PKZ5" s="146"/>
      <c r="PLA5" s="146"/>
      <c r="PLB5" s="146"/>
      <c r="PLC5" s="146"/>
      <c r="PLD5" s="146"/>
      <c r="PLE5" s="146"/>
      <c r="PLF5" s="146"/>
      <c r="PLG5" s="146"/>
      <c r="PLH5" s="146"/>
      <c r="PLI5" s="146"/>
      <c r="PLJ5" s="146"/>
      <c r="PLK5" s="146"/>
      <c r="PLL5" s="146"/>
      <c r="PLM5" s="146"/>
      <c r="PLN5" s="146"/>
      <c r="PLO5" s="146"/>
      <c r="PLP5" s="146"/>
      <c r="PLQ5" s="146"/>
      <c r="PLR5" s="146"/>
      <c r="PLS5" s="146"/>
      <c r="PLT5" s="146"/>
      <c r="PLU5" s="146"/>
      <c r="PLV5" s="146"/>
      <c r="PLW5" s="146"/>
      <c r="PLX5" s="146"/>
      <c r="PLY5" s="146"/>
      <c r="PLZ5" s="146"/>
      <c r="PMA5" s="146"/>
      <c r="PMB5" s="146"/>
      <c r="PMC5" s="146"/>
      <c r="PMD5" s="146"/>
      <c r="PME5" s="146"/>
      <c r="PMF5" s="146"/>
      <c r="PMG5" s="146"/>
      <c r="PMH5" s="146"/>
      <c r="PMI5" s="146"/>
      <c r="PMJ5" s="146"/>
      <c r="PMK5" s="146"/>
      <c r="PML5" s="146"/>
      <c r="PMM5" s="146"/>
      <c r="PMN5" s="146"/>
      <c r="PMO5" s="146"/>
      <c r="PMP5" s="146"/>
      <c r="PMQ5" s="146"/>
      <c r="PMR5" s="146"/>
      <c r="PMS5" s="146"/>
      <c r="PMT5" s="146"/>
      <c r="PMU5" s="146"/>
      <c r="PMV5" s="146"/>
      <c r="PMW5" s="146"/>
      <c r="PMX5" s="146"/>
      <c r="PMY5" s="146"/>
      <c r="PMZ5" s="146"/>
      <c r="PNA5" s="146"/>
      <c r="PNB5" s="146"/>
      <c r="PNC5" s="146"/>
      <c r="PND5" s="146"/>
      <c r="PNE5" s="146"/>
      <c r="PNF5" s="146"/>
      <c r="PNG5" s="146"/>
      <c r="PNH5" s="146"/>
      <c r="PNI5" s="146"/>
      <c r="PNJ5" s="146"/>
      <c r="PNK5" s="146"/>
      <c r="PNL5" s="146"/>
      <c r="PNM5" s="146"/>
      <c r="PNN5" s="146"/>
      <c r="PNO5" s="146"/>
      <c r="PNP5" s="146"/>
      <c r="PNQ5" s="146"/>
      <c r="PNR5" s="146"/>
      <c r="PNS5" s="146"/>
      <c r="PNT5" s="146"/>
      <c r="PNU5" s="146"/>
      <c r="PNV5" s="146"/>
      <c r="PNW5" s="146"/>
      <c r="PNX5" s="146"/>
      <c r="PNY5" s="146"/>
      <c r="PNZ5" s="146"/>
      <c r="POA5" s="146"/>
      <c r="POB5" s="146"/>
      <c r="POC5" s="146"/>
      <c r="POD5" s="146"/>
      <c r="POE5" s="146"/>
      <c r="POF5" s="146"/>
      <c r="POG5" s="146"/>
      <c r="POH5" s="146"/>
      <c r="POI5" s="146"/>
      <c r="POJ5" s="146"/>
      <c r="POK5" s="146"/>
      <c r="POL5" s="146"/>
      <c r="POM5" s="146"/>
      <c r="PON5" s="146"/>
      <c r="POO5" s="146"/>
      <c r="POP5" s="146"/>
      <c r="POQ5" s="146"/>
      <c r="POR5" s="146"/>
      <c r="POS5" s="146"/>
      <c r="POT5" s="146"/>
      <c r="POU5" s="146"/>
      <c r="POV5" s="146"/>
      <c r="POW5" s="146"/>
      <c r="POX5" s="146"/>
      <c r="POY5" s="146"/>
      <c r="POZ5" s="146"/>
      <c r="PPA5" s="146"/>
      <c r="PPB5" s="146"/>
      <c r="PPC5" s="146"/>
      <c r="PPD5" s="146"/>
      <c r="PPE5" s="146"/>
      <c r="PPF5" s="146"/>
      <c r="PPG5" s="146"/>
      <c r="PPH5" s="146"/>
      <c r="PPI5" s="146"/>
      <c r="PPJ5" s="146"/>
      <c r="PPK5" s="146"/>
      <c r="PPL5" s="146"/>
      <c r="PPM5" s="146"/>
      <c r="PPN5" s="146"/>
      <c r="PPO5" s="146"/>
      <c r="PPP5" s="146"/>
      <c r="PPQ5" s="146"/>
      <c r="PPR5" s="146"/>
      <c r="PPS5" s="146"/>
      <c r="PPT5" s="146"/>
      <c r="PPU5" s="146"/>
      <c r="PPV5" s="146"/>
      <c r="PPW5" s="146"/>
      <c r="PPX5" s="146"/>
      <c r="PPY5" s="146"/>
      <c r="PPZ5" s="146"/>
      <c r="PQA5" s="146"/>
      <c r="PQB5" s="146"/>
      <c r="PQC5" s="146"/>
      <c r="PQD5" s="146"/>
      <c r="PQE5" s="146"/>
      <c r="PQF5" s="146"/>
      <c r="PQG5" s="146"/>
      <c r="PQH5" s="146"/>
      <c r="PQI5" s="146"/>
      <c r="PQJ5" s="146"/>
      <c r="PQK5" s="146"/>
      <c r="PQL5" s="146"/>
      <c r="PQM5" s="146"/>
      <c r="PQN5" s="146"/>
      <c r="PQO5" s="146"/>
      <c r="PQP5" s="146"/>
      <c r="PQQ5" s="146"/>
      <c r="PQR5" s="146"/>
      <c r="PQS5" s="146"/>
      <c r="PQT5" s="146"/>
      <c r="PQU5" s="146"/>
      <c r="PQV5" s="146"/>
      <c r="PQW5" s="146"/>
      <c r="PQX5" s="146"/>
      <c r="PQY5" s="146"/>
      <c r="PQZ5" s="146"/>
      <c r="PRA5" s="146"/>
      <c r="PRB5" s="146"/>
      <c r="PRC5" s="146"/>
      <c r="PRD5" s="146"/>
      <c r="PRE5" s="146"/>
      <c r="PRF5" s="146"/>
      <c r="PRG5" s="146"/>
      <c r="PRH5" s="146"/>
      <c r="PRI5" s="146"/>
      <c r="PRJ5" s="146"/>
      <c r="PRK5" s="146"/>
      <c r="PRL5" s="146"/>
      <c r="PRM5" s="146"/>
      <c r="PRN5" s="146"/>
      <c r="PRO5" s="146"/>
      <c r="PRP5" s="146"/>
      <c r="PRQ5" s="146"/>
      <c r="PRR5" s="146"/>
      <c r="PRS5" s="146"/>
      <c r="PRT5" s="146"/>
      <c r="PRU5" s="146"/>
      <c r="PRV5" s="146"/>
      <c r="PRW5" s="146"/>
      <c r="PRX5" s="146"/>
      <c r="PRY5" s="146"/>
      <c r="PRZ5" s="146"/>
      <c r="PSA5" s="146"/>
      <c r="PSB5" s="146"/>
      <c r="PSC5" s="146"/>
      <c r="PSD5" s="146"/>
      <c r="PSE5" s="146"/>
      <c r="PSF5" s="146"/>
      <c r="PSG5" s="146"/>
      <c r="PSH5" s="146"/>
      <c r="PSI5" s="146"/>
      <c r="PSJ5" s="146"/>
      <c r="PSK5" s="146"/>
      <c r="PSL5" s="146"/>
      <c r="PSM5" s="146"/>
      <c r="PSN5" s="146"/>
      <c r="PSO5" s="146"/>
      <c r="PSP5" s="146"/>
      <c r="PSQ5" s="146"/>
      <c r="PSR5" s="146"/>
      <c r="PSS5" s="146"/>
      <c r="PST5" s="146"/>
      <c r="PSU5" s="146"/>
      <c r="PSV5" s="146"/>
      <c r="PSW5" s="146"/>
      <c r="PSX5" s="146"/>
      <c r="PSY5" s="146"/>
      <c r="PSZ5" s="146"/>
      <c r="PTA5" s="146"/>
      <c r="PTB5" s="146"/>
      <c r="PTC5" s="146"/>
      <c r="PTD5" s="146"/>
      <c r="PTE5" s="146"/>
      <c r="PTF5" s="146"/>
      <c r="PTG5" s="146"/>
      <c r="PTH5" s="146"/>
      <c r="PTI5" s="146"/>
      <c r="PTJ5" s="146"/>
      <c r="PTK5" s="146"/>
      <c r="PTL5" s="146"/>
      <c r="PTM5" s="146"/>
      <c r="PTN5" s="146"/>
      <c r="PTO5" s="146"/>
      <c r="PTP5" s="146"/>
      <c r="PTQ5" s="146"/>
      <c r="PTR5" s="146"/>
      <c r="PTS5" s="146"/>
      <c r="PTT5" s="146"/>
      <c r="PTU5" s="146"/>
      <c r="PTV5" s="146"/>
      <c r="PTW5" s="146"/>
      <c r="PTX5" s="146"/>
      <c r="PTY5" s="146"/>
      <c r="PTZ5" s="146"/>
      <c r="PUA5" s="146"/>
      <c r="PUB5" s="146"/>
      <c r="PUC5" s="146"/>
      <c r="PUD5" s="146"/>
      <c r="PUE5" s="146"/>
      <c r="PUF5" s="146"/>
      <c r="PUG5" s="146"/>
      <c r="PUH5" s="146"/>
      <c r="PUI5" s="146"/>
      <c r="PUJ5" s="146"/>
      <c r="PUK5" s="146"/>
      <c r="PUL5" s="146"/>
      <c r="PUM5" s="146"/>
      <c r="PUN5" s="146"/>
      <c r="PUO5" s="146"/>
      <c r="PUP5" s="146"/>
      <c r="PUQ5" s="146"/>
      <c r="PUR5" s="146"/>
      <c r="PUS5" s="146"/>
      <c r="PUT5" s="146"/>
      <c r="PUU5" s="146"/>
      <c r="PUV5" s="146"/>
      <c r="PUW5" s="146"/>
      <c r="PUX5" s="146"/>
      <c r="PUY5" s="146"/>
      <c r="PUZ5" s="146"/>
      <c r="PVA5" s="146"/>
      <c r="PVB5" s="146"/>
      <c r="PVC5" s="146"/>
      <c r="PVD5" s="146"/>
      <c r="PVE5" s="146"/>
      <c r="PVF5" s="146"/>
      <c r="PVG5" s="146"/>
      <c r="PVH5" s="146"/>
      <c r="PVI5" s="146"/>
      <c r="PVJ5" s="146"/>
      <c r="PVK5" s="146"/>
      <c r="PVL5" s="146"/>
      <c r="PVM5" s="146"/>
      <c r="PVN5" s="146"/>
      <c r="PVO5" s="146"/>
      <c r="PVP5" s="146"/>
      <c r="PVQ5" s="146"/>
      <c r="PVR5" s="146"/>
      <c r="PVS5" s="146"/>
      <c r="PVT5" s="146"/>
      <c r="PVU5" s="146"/>
      <c r="PVV5" s="146"/>
      <c r="PVW5" s="146"/>
      <c r="PVX5" s="146"/>
      <c r="PVY5" s="146"/>
      <c r="PVZ5" s="146"/>
      <c r="PWA5" s="146"/>
      <c r="PWB5" s="146"/>
      <c r="PWC5" s="146"/>
      <c r="PWD5" s="146"/>
      <c r="PWE5" s="146"/>
      <c r="PWF5" s="146"/>
      <c r="PWG5" s="146"/>
      <c r="PWH5" s="146"/>
      <c r="PWI5" s="146"/>
      <c r="PWJ5" s="146"/>
      <c r="PWK5" s="146"/>
      <c r="PWL5" s="146"/>
      <c r="PWM5" s="146"/>
      <c r="PWN5" s="146"/>
      <c r="PWO5" s="146"/>
      <c r="PWP5" s="146"/>
      <c r="PWQ5" s="146"/>
      <c r="PWR5" s="146"/>
      <c r="PWS5" s="146"/>
      <c r="PWT5" s="146"/>
      <c r="PWU5" s="146"/>
      <c r="PWV5" s="146"/>
      <c r="PWW5" s="146"/>
      <c r="PWX5" s="146"/>
      <c r="PWY5" s="146"/>
      <c r="PWZ5" s="146"/>
      <c r="PXA5" s="146"/>
      <c r="PXB5" s="146"/>
      <c r="PXC5" s="146"/>
      <c r="PXD5" s="146"/>
      <c r="PXE5" s="146"/>
      <c r="PXF5" s="146"/>
      <c r="PXG5" s="146"/>
      <c r="PXH5" s="146"/>
      <c r="PXI5" s="146"/>
      <c r="PXJ5" s="146"/>
      <c r="PXK5" s="146"/>
      <c r="PXL5" s="146"/>
      <c r="PXM5" s="146"/>
      <c r="PXN5" s="146"/>
      <c r="PXO5" s="146"/>
      <c r="PXP5" s="146"/>
      <c r="PXQ5" s="146"/>
      <c r="PXR5" s="146"/>
      <c r="PXS5" s="146"/>
      <c r="PXT5" s="146"/>
      <c r="PXU5" s="146"/>
      <c r="PXV5" s="146"/>
      <c r="PXW5" s="146"/>
      <c r="PXX5" s="146"/>
      <c r="PXY5" s="146"/>
      <c r="PXZ5" s="146"/>
      <c r="PYA5" s="146"/>
      <c r="PYB5" s="146"/>
      <c r="PYC5" s="146"/>
      <c r="PYD5" s="146"/>
      <c r="PYE5" s="146"/>
      <c r="PYF5" s="146"/>
      <c r="PYG5" s="146"/>
      <c r="PYH5" s="146"/>
      <c r="PYI5" s="146"/>
      <c r="PYJ5" s="146"/>
      <c r="PYK5" s="146"/>
      <c r="PYL5" s="146"/>
      <c r="PYM5" s="146"/>
      <c r="PYN5" s="146"/>
      <c r="PYO5" s="146"/>
      <c r="PYP5" s="146"/>
      <c r="PYQ5" s="146"/>
      <c r="PYR5" s="146"/>
      <c r="PYS5" s="146"/>
      <c r="PYT5" s="146"/>
      <c r="PYU5" s="146"/>
      <c r="PYV5" s="146"/>
      <c r="PYW5" s="146"/>
      <c r="PYX5" s="146"/>
      <c r="PYY5" s="146"/>
      <c r="PYZ5" s="146"/>
      <c r="PZA5" s="146"/>
      <c r="PZB5" s="146"/>
      <c r="PZC5" s="146"/>
      <c r="PZD5" s="146"/>
      <c r="PZE5" s="146"/>
      <c r="PZF5" s="146"/>
      <c r="PZG5" s="146"/>
      <c r="PZH5" s="146"/>
      <c r="PZI5" s="146"/>
      <c r="PZJ5" s="146"/>
      <c r="PZK5" s="146"/>
      <c r="PZL5" s="146"/>
      <c r="PZM5" s="146"/>
      <c r="PZN5" s="146"/>
      <c r="PZO5" s="146"/>
      <c r="PZP5" s="146"/>
      <c r="PZQ5" s="146"/>
      <c r="PZR5" s="146"/>
      <c r="PZS5" s="146"/>
      <c r="PZT5" s="146"/>
      <c r="PZU5" s="146"/>
      <c r="PZV5" s="146"/>
      <c r="PZW5" s="146"/>
      <c r="PZX5" s="146"/>
      <c r="PZY5" s="146"/>
      <c r="PZZ5" s="146"/>
      <c r="QAA5" s="146"/>
      <c r="QAB5" s="146"/>
      <c r="QAC5" s="146"/>
      <c r="QAD5" s="146"/>
      <c r="QAE5" s="146"/>
      <c r="QAF5" s="146"/>
      <c r="QAG5" s="146"/>
      <c r="QAH5" s="146"/>
      <c r="QAI5" s="146"/>
      <c r="QAJ5" s="146"/>
      <c r="QAK5" s="146"/>
      <c r="QAL5" s="146"/>
      <c r="QAM5" s="146"/>
      <c r="QAN5" s="146"/>
      <c r="QAO5" s="146"/>
      <c r="QAP5" s="146"/>
      <c r="QAQ5" s="146"/>
      <c r="QAR5" s="146"/>
      <c r="QAS5" s="146"/>
      <c r="QAT5" s="146"/>
      <c r="QAU5" s="146"/>
      <c r="QAV5" s="146"/>
      <c r="QAW5" s="146"/>
      <c r="QAX5" s="146"/>
      <c r="QAY5" s="146"/>
      <c r="QAZ5" s="146"/>
      <c r="QBA5" s="146"/>
      <c r="QBB5" s="146"/>
      <c r="QBC5" s="146"/>
      <c r="QBD5" s="146"/>
      <c r="QBE5" s="146"/>
      <c r="QBF5" s="146"/>
      <c r="QBG5" s="146"/>
      <c r="QBH5" s="146"/>
      <c r="QBI5" s="146"/>
      <c r="QBJ5" s="146"/>
      <c r="QBK5" s="146"/>
      <c r="QBL5" s="146"/>
      <c r="QBM5" s="146"/>
      <c r="QBN5" s="146"/>
      <c r="QBO5" s="146"/>
      <c r="QBP5" s="146"/>
      <c r="QBQ5" s="146"/>
      <c r="QBR5" s="146"/>
      <c r="QBS5" s="146"/>
      <c r="QBT5" s="146"/>
      <c r="QBU5" s="146"/>
      <c r="QBV5" s="146"/>
      <c r="QBW5" s="146"/>
      <c r="QBX5" s="146"/>
      <c r="QBY5" s="146"/>
      <c r="QBZ5" s="146"/>
      <c r="QCA5" s="146"/>
      <c r="QCB5" s="146"/>
      <c r="QCC5" s="146"/>
      <c r="QCD5" s="146"/>
      <c r="QCE5" s="146"/>
      <c r="QCF5" s="146"/>
      <c r="QCG5" s="146"/>
      <c r="QCH5" s="146"/>
      <c r="QCI5" s="146"/>
      <c r="QCJ5" s="146"/>
      <c r="QCK5" s="146"/>
      <c r="QCL5" s="146"/>
      <c r="QCM5" s="146"/>
      <c r="QCN5" s="146"/>
      <c r="QCO5" s="146"/>
      <c r="QCP5" s="146"/>
      <c r="QCQ5" s="146"/>
      <c r="QCR5" s="146"/>
      <c r="QCS5" s="146"/>
      <c r="QCT5" s="146"/>
      <c r="QCU5" s="146"/>
      <c r="QCV5" s="146"/>
      <c r="QCW5" s="146"/>
      <c r="QCX5" s="146"/>
      <c r="QCY5" s="146"/>
      <c r="QCZ5" s="146"/>
      <c r="QDA5" s="146"/>
      <c r="QDB5" s="146"/>
      <c r="QDC5" s="146"/>
      <c r="QDD5" s="146"/>
      <c r="QDE5" s="146"/>
      <c r="QDF5" s="146"/>
      <c r="QDG5" s="146"/>
      <c r="QDH5" s="146"/>
      <c r="QDI5" s="146"/>
      <c r="QDJ5" s="146"/>
      <c r="QDK5" s="146"/>
      <c r="QDL5" s="146"/>
      <c r="QDM5" s="146"/>
      <c r="QDN5" s="146"/>
      <c r="QDO5" s="146"/>
      <c r="QDP5" s="146"/>
      <c r="QDQ5" s="146"/>
      <c r="QDR5" s="146"/>
      <c r="QDS5" s="146"/>
      <c r="QDT5" s="146"/>
      <c r="QDU5" s="146"/>
      <c r="QDV5" s="146"/>
      <c r="QDW5" s="146"/>
      <c r="QDX5" s="146"/>
      <c r="QDY5" s="146"/>
      <c r="QDZ5" s="146"/>
      <c r="QEA5" s="146"/>
      <c r="QEB5" s="146"/>
      <c r="QEC5" s="146"/>
      <c r="QED5" s="146"/>
      <c r="QEE5" s="146"/>
      <c r="QEF5" s="146"/>
      <c r="QEG5" s="146"/>
      <c r="QEH5" s="146"/>
      <c r="QEI5" s="146"/>
      <c r="QEJ5" s="146"/>
      <c r="QEK5" s="146"/>
      <c r="QEL5" s="146"/>
      <c r="QEM5" s="146"/>
      <c r="QEN5" s="146"/>
      <c r="QEO5" s="146"/>
      <c r="QEP5" s="146"/>
      <c r="QEQ5" s="146"/>
      <c r="QER5" s="146"/>
      <c r="QES5" s="146"/>
      <c r="QET5" s="146"/>
      <c r="QEU5" s="146"/>
      <c r="QEV5" s="146"/>
      <c r="QEW5" s="146"/>
      <c r="QEX5" s="146"/>
      <c r="QEY5" s="146"/>
      <c r="QEZ5" s="146"/>
      <c r="QFA5" s="146"/>
      <c r="QFB5" s="146"/>
      <c r="QFC5" s="146"/>
      <c r="QFD5" s="146"/>
      <c r="QFE5" s="146"/>
      <c r="QFF5" s="146"/>
      <c r="QFG5" s="146"/>
      <c r="QFH5" s="146"/>
      <c r="QFI5" s="146"/>
      <c r="QFJ5" s="146"/>
      <c r="QFK5" s="146"/>
      <c r="QFL5" s="146"/>
      <c r="QFM5" s="146"/>
      <c r="QFN5" s="146"/>
      <c r="QFO5" s="146"/>
      <c r="QFP5" s="146"/>
      <c r="QFQ5" s="146"/>
      <c r="QFR5" s="146"/>
      <c r="QFS5" s="146"/>
      <c r="QFT5" s="146"/>
      <c r="QFU5" s="146"/>
      <c r="QFV5" s="146"/>
      <c r="QFW5" s="146"/>
      <c r="QFX5" s="146"/>
      <c r="QFY5" s="146"/>
      <c r="QFZ5" s="146"/>
      <c r="QGA5" s="146"/>
      <c r="QGB5" s="146"/>
      <c r="QGC5" s="146"/>
      <c r="QGD5" s="146"/>
      <c r="QGE5" s="146"/>
      <c r="QGF5" s="146"/>
      <c r="QGG5" s="146"/>
      <c r="QGH5" s="146"/>
      <c r="QGI5" s="146"/>
      <c r="QGJ5" s="146"/>
      <c r="QGK5" s="146"/>
      <c r="QGL5" s="146"/>
      <c r="QGM5" s="146"/>
      <c r="QGN5" s="146"/>
      <c r="QGO5" s="146"/>
      <c r="QGP5" s="146"/>
      <c r="QGQ5" s="146"/>
      <c r="QGR5" s="146"/>
      <c r="QGS5" s="146"/>
      <c r="QGT5" s="146"/>
      <c r="QGU5" s="146"/>
      <c r="QGV5" s="146"/>
      <c r="QGW5" s="146"/>
      <c r="QGX5" s="146"/>
      <c r="QGY5" s="146"/>
      <c r="QGZ5" s="146"/>
      <c r="QHA5" s="146"/>
      <c r="QHB5" s="146"/>
      <c r="QHC5" s="146"/>
      <c r="QHD5" s="146"/>
      <c r="QHE5" s="146"/>
      <c r="QHF5" s="146"/>
      <c r="QHG5" s="146"/>
      <c r="QHH5" s="146"/>
      <c r="QHI5" s="146"/>
      <c r="QHJ5" s="146"/>
      <c r="QHK5" s="146"/>
      <c r="QHL5" s="146"/>
      <c r="QHM5" s="146"/>
      <c r="QHN5" s="146"/>
      <c r="QHO5" s="146"/>
      <c r="QHP5" s="146"/>
      <c r="QHQ5" s="146"/>
      <c r="QHR5" s="146"/>
      <c r="QHS5" s="146"/>
      <c r="QHT5" s="146"/>
      <c r="QHU5" s="146"/>
      <c r="QHV5" s="146"/>
      <c r="QHW5" s="146"/>
      <c r="QHX5" s="146"/>
      <c r="QHY5" s="146"/>
      <c r="QHZ5" s="146"/>
      <c r="QIA5" s="146"/>
      <c r="QIB5" s="146"/>
      <c r="QIC5" s="146"/>
      <c r="QID5" s="146"/>
      <c r="QIE5" s="146"/>
      <c r="QIF5" s="146"/>
      <c r="QIG5" s="146"/>
      <c r="QIH5" s="146"/>
      <c r="QII5" s="146"/>
      <c r="QIJ5" s="146"/>
      <c r="QIK5" s="146"/>
      <c r="QIL5" s="146"/>
      <c r="QIM5" s="146"/>
      <c r="QIN5" s="146"/>
      <c r="QIO5" s="146"/>
      <c r="QIP5" s="146"/>
      <c r="QIQ5" s="146"/>
      <c r="QIR5" s="146"/>
      <c r="QIS5" s="146"/>
      <c r="QIT5" s="146"/>
      <c r="QIU5" s="146"/>
      <c r="QIV5" s="146"/>
      <c r="QIW5" s="146"/>
      <c r="QIX5" s="146"/>
      <c r="QIY5" s="146"/>
      <c r="QIZ5" s="146"/>
      <c r="QJA5" s="146"/>
      <c r="QJB5" s="146"/>
      <c r="QJC5" s="146"/>
      <c r="QJD5" s="146"/>
      <c r="QJE5" s="146"/>
      <c r="QJF5" s="146"/>
      <c r="QJG5" s="146"/>
      <c r="QJH5" s="146"/>
      <c r="QJI5" s="146"/>
      <c r="QJJ5" s="146"/>
      <c r="QJK5" s="146"/>
      <c r="QJL5" s="146"/>
      <c r="QJM5" s="146"/>
      <c r="QJN5" s="146"/>
      <c r="QJO5" s="146"/>
      <c r="QJP5" s="146"/>
      <c r="QJQ5" s="146"/>
      <c r="QJR5" s="146"/>
      <c r="QJS5" s="146"/>
      <c r="QJT5" s="146"/>
      <c r="QJU5" s="146"/>
      <c r="QJV5" s="146"/>
      <c r="QJW5" s="146"/>
      <c r="QJX5" s="146"/>
      <c r="QJY5" s="146"/>
      <c r="QJZ5" s="146"/>
      <c r="QKA5" s="146"/>
      <c r="QKB5" s="146"/>
      <c r="QKC5" s="146"/>
      <c r="QKD5" s="146"/>
      <c r="QKE5" s="146"/>
      <c r="QKF5" s="146"/>
      <c r="QKG5" s="146"/>
      <c r="QKH5" s="146"/>
      <c r="QKI5" s="146"/>
      <c r="QKJ5" s="146"/>
      <c r="QKK5" s="146"/>
      <c r="QKL5" s="146"/>
      <c r="QKM5" s="146"/>
      <c r="QKN5" s="146"/>
      <c r="QKO5" s="146"/>
      <c r="QKP5" s="146"/>
      <c r="QKQ5" s="146"/>
      <c r="QKR5" s="146"/>
      <c r="QKS5" s="146"/>
      <c r="QKT5" s="146"/>
      <c r="QKU5" s="146"/>
      <c r="QKV5" s="146"/>
      <c r="QKW5" s="146"/>
      <c r="QKX5" s="146"/>
      <c r="QKY5" s="146"/>
      <c r="QKZ5" s="146"/>
      <c r="QLA5" s="146"/>
      <c r="QLB5" s="146"/>
      <c r="QLC5" s="146"/>
      <c r="QLD5" s="146"/>
      <c r="QLE5" s="146"/>
      <c r="QLF5" s="146"/>
      <c r="QLG5" s="146"/>
      <c r="QLH5" s="146"/>
      <c r="QLI5" s="146"/>
      <c r="QLJ5" s="146"/>
      <c r="QLK5" s="146"/>
      <c r="QLL5" s="146"/>
      <c r="QLM5" s="146"/>
      <c r="QLN5" s="146"/>
      <c r="QLO5" s="146"/>
      <c r="QLP5" s="146"/>
      <c r="QLQ5" s="146"/>
      <c r="QLR5" s="146"/>
      <c r="QLS5" s="146"/>
      <c r="QLT5" s="146"/>
      <c r="QLU5" s="146"/>
      <c r="QLV5" s="146"/>
      <c r="QLW5" s="146"/>
      <c r="QLX5" s="146"/>
      <c r="QLY5" s="146"/>
      <c r="QLZ5" s="146"/>
      <c r="QMA5" s="146"/>
      <c r="QMB5" s="146"/>
      <c r="QMC5" s="146"/>
      <c r="QMD5" s="146"/>
      <c r="QME5" s="146"/>
      <c r="QMF5" s="146"/>
      <c r="QMG5" s="146"/>
      <c r="QMH5" s="146"/>
      <c r="QMI5" s="146"/>
      <c r="QMJ5" s="146"/>
      <c r="QMK5" s="146"/>
      <c r="QML5" s="146"/>
      <c r="QMM5" s="146"/>
      <c r="QMN5" s="146"/>
      <c r="QMO5" s="146"/>
      <c r="QMP5" s="146"/>
      <c r="QMQ5" s="146"/>
      <c r="QMR5" s="146"/>
      <c r="QMS5" s="146"/>
      <c r="QMT5" s="146"/>
      <c r="QMU5" s="146"/>
      <c r="QMV5" s="146"/>
      <c r="QMW5" s="146"/>
      <c r="QMX5" s="146"/>
      <c r="QMY5" s="146"/>
      <c r="QMZ5" s="146"/>
      <c r="QNA5" s="146"/>
      <c r="QNB5" s="146"/>
      <c r="QNC5" s="146"/>
      <c r="QND5" s="146"/>
      <c r="QNE5" s="146"/>
      <c r="QNF5" s="146"/>
      <c r="QNG5" s="146"/>
      <c r="QNH5" s="146"/>
      <c r="QNI5" s="146"/>
      <c r="QNJ5" s="146"/>
      <c r="QNK5" s="146"/>
      <c r="QNL5" s="146"/>
      <c r="QNM5" s="146"/>
      <c r="QNN5" s="146"/>
      <c r="QNO5" s="146"/>
      <c r="QNP5" s="146"/>
      <c r="QNQ5" s="146"/>
      <c r="QNR5" s="146"/>
      <c r="QNS5" s="146"/>
      <c r="QNT5" s="146"/>
      <c r="QNU5" s="146"/>
      <c r="QNV5" s="146"/>
      <c r="QNW5" s="146"/>
      <c r="QNX5" s="146"/>
      <c r="QNY5" s="146"/>
      <c r="QNZ5" s="146"/>
      <c r="QOA5" s="146"/>
      <c r="QOB5" s="146"/>
      <c r="QOC5" s="146"/>
      <c r="QOD5" s="146"/>
      <c r="QOE5" s="146"/>
      <c r="QOF5" s="146"/>
      <c r="QOG5" s="146"/>
      <c r="QOH5" s="146"/>
      <c r="QOI5" s="146"/>
      <c r="QOJ5" s="146"/>
      <c r="QOK5" s="146"/>
      <c r="QOL5" s="146"/>
      <c r="QOM5" s="146"/>
      <c r="QON5" s="146"/>
      <c r="QOO5" s="146"/>
      <c r="QOP5" s="146"/>
      <c r="QOQ5" s="146"/>
      <c r="QOR5" s="146"/>
      <c r="QOS5" s="146"/>
      <c r="QOT5" s="146"/>
      <c r="QOU5" s="146"/>
      <c r="QOV5" s="146"/>
      <c r="QOW5" s="146"/>
      <c r="QOX5" s="146"/>
      <c r="QOY5" s="146"/>
      <c r="QOZ5" s="146"/>
      <c r="QPA5" s="146"/>
      <c r="QPB5" s="146"/>
      <c r="QPC5" s="146"/>
      <c r="QPD5" s="146"/>
      <c r="QPE5" s="146"/>
      <c r="QPF5" s="146"/>
      <c r="QPG5" s="146"/>
      <c r="QPH5" s="146"/>
      <c r="QPI5" s="146"/>
      <c r="QPJ5" s="146"/>
      <c r="QPK5" s="146"/>
      <c r="QPL5" s="146"/>
      <c r="QPM5" s="146"/>
      <c r="QPN5" s="146"/>
      <c r="QPO5" s="146"/>
      <c r="QPP5" s="146"/>
      <c r="QPQ5" s="146"/>
      <c r="QPR5" s="146"/>
      <c r="QPS5" s="146"/>
      <c r="QPT5" s="146"/>
      <c r="QPU5" s="146"/>
      <c r="QPV5" s="146"/>
      <c r="QPW5" s="146"/>
      <c r="QPX5" s="146"/>
      <c r="QPY5" s="146"/>
      <c r="QPZ5" s="146"/>
      <c r="QQA5" s="146"/>
      <c r="QQB5" s="146"/>
      <c r="QQC5" s="146"/>
      <c r="QQD5" s="146"/>
      <c r="QQE5" s="146"/>
      <c r="QQF5" s="146"/>
      <c r="QQG5" s="146"/>
      <c r="QQH5" s="146"/>
      <c r="QQI5" s="146"/>
      <c r="QQJ5" s="146"/>
      <c r="QQK5" s="146"/>
      <c r="QQL5" s="146"/>
      <c r="QQM5" s="146"/>
      <c r="QQN5" s="146"/>
      <c r="QQO5" s="146"/>
      <c r="QQP5" s="146"/>
      <c r="QQQ5" s="146"/>
      <c r="QQR5" s="146"/>
      <c r="QQS5" s="146"/>
      <c r="QQT5" s="146"/>
      <c r="QQU5" s="146"/>
      <c r="QQV5" s="146"/>
      <c r="QQW5" s="146"/>
      <c r="QQX5" s="146"/>
      <c r="QQY5" s="146"/>
      <c r="QQZ5" s="146"/>
      <c r="QRA5" s="146"/>
      <c r="QRB5" s="146"/>
      <c r="QRC5" s="146"/>
      <c r="QRD5" s="146"/>
      <c r="QRE5" s="146"/>
      <c r="QRF5" s="146"/>
      <c r="QRG5" s="146"/>
      <c r="QRH5" s="146"/>
      <c r="QRI5" s="146"/>
      <c r="QRJ5" s="146"/>
      <c r="QRK5" s="146"/>
      <c r="QRL5" s="146"/>
      <c r="QRM5" s="146"/>
      <c r="QRN5" s="146"/>
      <c r="QRO5" s="146"/>
      <c r="QRP5" s="146"/>
      <c r="QRQ5" s="146"/>
      <c r="QRR5" s="146"/>
      <c r="QRS5" s="146"/>
      <c r="QRT5" s="146"/>
      <c r="QRU5" s="146"/>
      <c r="QRV5" s="146"/>
      <c r="QRW5" s="146"/>
      <c r="QRX5" s="146"/>
      <c r="QRY5" s="146"/>
      <c r="QRZ5" s="146"/>
      <c r="QSA5" s="146"/>
      <c r="QSB5" s="146"/>
      <c r="QSC5" s="146"/>
      <c r="QSD5" s="146"/>
      <c r="QSE5" s="146"/>
      <c r="QSF5" s="146"/>
      <c r="QSG5" s="146"/>
      <c r="QSH5" s="146"/>
      <c r="QSI5" s="146"/>
      <c r="QSJ5" s="146"/>
      <c r="QSK5" s="146"/>
      <c r="QSL5" s="146"/>
      <c r="QSM5" s="146"/>
      <c r="QSN5" s="146"/>
      <c r="QSO5" s="146"/>
      <c r="QSP5" s="146"/>
      <c r="QSQ5" s="146"/>
      <c r="QSR5" s="146"/>
      <c r="QSS5" s="146"/>
      <c r="QST5" s="146"/>
      <c r="QSU5" s="146"/>
      <c r="QSV5" s="146"/>
      <c r="QSW5" s="146"/>
      <c r="QSX5" s="146"/>
      <c r="QSY5" s="146"/>
      <c r="QSZ5" s="146"/>
      <c r="QTA5" s="146"/>
      <c r="QTB5" s="146"/>
      <c r="QTC5" s="146"/>
      <c r="QTD5" s="146"/>
      <c r="QTE5" s="146"/>
      <c r="QTF5" s="146"/>
      <c r="QTG5" s="146"/>
      <c r="QTH5" s="146"/>
      <c r="QTI5" s="146"/>
      <c r="QTJ5" s="146"/>
      <c r="QTK5" s="146"/>
      <c r="QTL5" s="146"/>
      <c r="QTM5" s="146"/>
      <c r="QTN5" s="146"/>
      <c r="QTO5" s="146"/>
      <c r="QTP5" s="146"/>
      <c r="QTQ5" s="146"/>
      <c r="QTR5" s="146"/>
      <c r="QTS5" s="146"/>
      <c r="QTT5" s="146"/>
      <c r="QTU5" s="146"/>
      <c r="QTV5" s="146"/>
      <c r="QTW5" s="146"/>
      <c r="QTX5" s="146"/>
      <c r="QTY5" s="146"/>
      <c r="QTZ5" s="146"/>
      <c r="QUA5" s="146"/>
      <c r="QUB5" s="146"/>
      <c r="QUC5" s="146"/>
      <c r="QUD5" s="146"/>
      <c r="QUE5" s="146"/>
      <c r="QUF5" s="146"/>
      <c r="QUG5" s="146"/>
      <c r="QUH5" s="146"/>
      <c r="QUI5" s="146"/>
      <c r="QUJ5" s="146"/>
      <c r="QUK5" s="146"/>
      <c r="QUL5" s="146"/>
      <c r="QUM5" s="146"/>
      <c r="QUN5" s="146"/>
      <c r="QUO5" s="146"/>
      <c r="QUP5" s="146"/>
      <c r="QUQ5" s="146"/>
      <c r="QUR5" s="146"/>
      <c r="QUS5" s="146"/>
      <c r="QUT5" s="146"/>
      <c r="QUU5" s="146"/>
      <c r="QUV5" s="146"/>
      <c r="QUW5" s="146"/>
      <c r="QUX5" s="146"/>
      <c r="QUY5" s="146"/>
      <c r="QUZ5" s="146"/>
      <c r="QVA5" s="146"/>
      <c r="QVB5" s="146"/>
      <c r="QVC5" s="146"/>
      <c r="QVD5" s="146"/>
      <c r="QVE5" s="146"/>
      <c r="QVF5" s="146"/>
      <c r="QVG5" s="146"/>
      <c r="QVH5" s="146"/>
      <c r="QVI5" s="146"/>
      <c r="QVJ5" s="146"/>
      <c r="QVK5" s="146"/>
      <c r="QVL5" s="146"/>
      <c r="QVM5" s="146"/>
      <c r="QVN5" s="146"/>
      <c r="QVO5" s="146"/>
      <c r="QVP5" s="146"/>
      <c r="QVQ5" s="146"/>
      <c r="QVR5" s="146"/>
      <c r="QVS5" s="146"/>
      <c r="QVT5" s="146"/>
      <c r="QVU5" s="146"/>
      <c r="QVV5" s="146"/>
      <c r="QVW5" s="146"/>
      <c r="QVX5" s="146"/>
      <c r="QVY5" s="146"/>
      <c r="QVZ5" s="146"/>
      <c r="QWA5" s="146"/>
      <c r="QWB5" s="146"/>
      <c r="QWC5" s="146"/>
      <c r="QWD5" s="146"/>
      <c r="QWE5" s="146"/>
      <c r="QWF5" s="146"/>
      <c r="QWG5" s="146"/>
      <c r="QWH5" s="146"/>
      <c r="QWI5" s="146"/>
      <c r="QWJ5" s="146"/>
      <c r="QWK5" s="146"/>
      <c r="QWL5" s="146"/>
      <c r="QWM5" s="146"/>
      <c r="QWN5" s="146"/>
      <c r="QWO5" s="146"/>
      <c r="QWP5" s="146"/>
      <c r="QWQ5" s="146"/>
      <c r="QWR5" s="146"/>
      <c r="QWS5" s="146"/>
      <c r="QWT5" s="146"/>
      <c r="QWU5" s="146"/>
      <c r="QWV5" s="146"/>
      <c r="QWW5" s="146"/>
      <c r="QWX5" s="146"/>
      <c r="QWY5" s="146"/>
      <c r="QWZ5" s="146"/>
      <c r="QXA5" s="146"/>
      <c r="QXB5" s="146"/>
      <c r="QXC5" s="146"/>
      <c r="QXD5" s="146"/>
      <c r="QXE5" s="146"/>
      <c r="QXF5" s="146"/>
      <c r="QXG5" s="146"/>
      <c r="QXH5" s="146"/>
      <c r="QXI5" s="146"/>
      <c r="QXJ5" s="146"/>
      <c r="QXK5" s="146"/>
      <c r="QXL5" s="146"/>
      <c r="QXM5" s="146"/>
      <c r="QXN5" s="146"/>
      <c r="QXO5" s="146"/>
      <c r="QXP5" s="146"/>
      <c r="QXQ5" s="146"/>
      <c r="QXR5" s="146"/>
      <c r="QXS5" s="146"/>
      <c r="QXT5" s="146"/>
      <c r="QXU5" s="146"/>
      <c r="QXV5" s="146"/>
      <c r="QXW5" s="146"/>
      <c r="QXX5" s="146"/>
      <c r="QXY5" s="146"/>
      <c r="QXZ5" s="146"/>
      <c r="QYA5" s="146"/>
      <c r="QYB5" s="146"/>
      <c r="QYC5" s="146"/>
      <c r="QYD5" s="146"/>
      <c r="QYE5" s="146"/>
      <c r="QYF5" s="146"/>
      <c r="QYG5" s="146"/>
      <c r="QYH5" s="146"/>
      <c r="QYI5" s="146"/>
      <c r="QYJ5" s="146"/>
      <c r="QYK5" s="146"/>
      <c r="QYL5" s="146"/>
      <c r="QYM5" s="146"/>
      <c r="QYN5" s="146"/>
      <c r="QYO5" s="146"/>
      <c r="QYP5" s="146"/>
      <c r="QYQ5" s="146"/>
      <c r="QYR5" s="146"/>
      <c r="QYS5" s="146"/>
      <c r="QYT5" s="146"/>
      <c r="QYU5" s="146"/>
      <c r="QYV5" s="146"/>
      <c r="QYW5" s="146"/>
      <c r="QYX5" s="146"/>
      <c r="QYY5" s="146"/>
      <c r="QYZ5" s="146"/>
      <c r="QZA5" s="146"/>
      <c r="QZB5" s="146"/>
      <c r="QZC5" s="146"/>
      <c r="QZD5" s="146"/>
      <c r="QZE5" s="146"/>
      <c r="QZF5" s="146"/>
      <c r="QZG5" s="146"/>
      <c r="QZH5" s="146"/>
      <c r="QZI5" s="146"/>
      <c r="QZJ5" s="146"/>
      <c r="QZK5" s="146"/>
      <c r="QZL5" s="146"/>
      <c r="QZM5" s="146"/>
      <c r="QZN5" s="146"/>
      <c r="QZO5" s="146"/>
      <c r="QZP5" s="146"/>
      <c r="QZQ5" s="146"/>
      <c r="QZR5" s="146"/>
      <c r="QZS5" s="146"/>
      <c r="QZT5" s="146"/>
      <c r="QZU5" s="146"/>
      <c r="QZV5" s="146"/>
      <c r="QZW5" s="146"/>
      <c r="QZX5" s="146"/>
      <c r="QZY5" s="146"/>
      <c r="QZZ5" s="146"/>
      <c r="RAA5" s="146"/>
      <c r="RAB5" s="146"/>
      <c r="RAC5" s="146"/>
      <c r="RAD5" s="146"/>
      <c r="RAE5" s="146"/>
      <c r="RAF5" s="146"/>
      <c r="RAG5" s="146"/>
      <c r="RAH5" s="146"/>
      <c r="RAI5" s="146"/>
      <c r="RAJ5" s="146"/>
      <c r="RAK5" s="146"/>
      <c r="RAL5" s="146"/>
      <c r="RAM5" s="146"/>
      <c r="RAN5" s="146"/>
      <c r="RAO5" s="146"/>
      <c r="RAP5" s="146"/>
      <c r="RAQ5" s="146"/>
      <c r="RAR5" s="146"/>
      <c r="RAS5" s="146"/>
      <c r="RAT5" s="146"/>
      <c r="RAU5" s="146"/>
      <c r="RAV5" s="146"/>
      <c r="RAW5" s="146"/>
      <c r="RAX5" s="146"/>
      <c r="RAY5" s="146"/>
      <c r="RAZ5" s="146"/>
      <c r="RBA5" s="146"/>
      <c r="RBB5" s="146"/>
      <c r="RBC5" s="146"/>
      <c r="RBD5" s="146"/>
      <c r="RBE5" s="146"/>
      <c r="RBF5" s="146"/>
      <c r="RBG5" s="146"/>
      <c r="RBH5" s="146"/>
      <c r="RBI5" s="146"/>
      <c r="RBJ5" s="146"/>
      <c r="RBK5" s="146"/>
      <c r="RBL5" s="146"/>
      <c r="RBM5" s="146"/>
      <c r="RBN5" s="146"/>
      <c r="RBO5" s="146"/>
      <c r="RBP5" s="146"/>
      <c r="RBQ5" s="146"/>
      <c r="RBR5" s="146"/>
      <c r="RBS5" s="146"/>
      <c r="RBT5" s="146"/>
      <c r="RBU5" s="146"/>
      <c r="RBV5" s="146"/>
      <c r="RBW5" s="146"/>
      <c r="RBX5" s="146"/>
      <c r="RBY5" s="146"/>
      <c r="RBZ5" s="146"/>
      <c r="RCA5" s="146"/>
      <c r="RCB5" s="146"/>
      <c r="RCC5" s="146"/>
      <c r="RCD5" s="146"/>
      <c r="RCE5" s="146"/>
      <c r="RCF5" s="146"/>
      <c r="RCG5" s="146"/>
      <c r="RCH5" s="146"/>
      <c r="RCI5" s="146"/>
      <c r="RCJ5" s="146"/>
      <c r="RCK5" s="146"/>
      <c r="RCL5" s="146"/>
      <c r="RCM5" s="146"/>
      <c r="RCN5" s="146"/>
      <c r="RCO5" s="146"/>
      <c r="RCP5" s="146"/>
      <c r="RCQ5" s="146"/>
      <c r="RCR5" s="146"/>
      <c r="RCS5" s="146"/>
      <c r="RCT5" s="146"/>
      <c r="RCU5" s="146"/>
      <c r="RCV5" s="146"/>
      <c r="RCW5" s="146"/>
      <c r="RCX5" s="146"/>
      <c r="RCY5" s="146"/>
      <c r="RCZ5" s="146"/>
      <c r="RDA5" s="146"/>
      <c r="RDB5" s="146"/>
      <c r="RDC5" s="146"/>
      <c r="RDD5" s="146"/>
      <c r="RDE5" s="146"/>
      <c r="RDF5" s="146"/>
      <c r="RDG5" s="146"/>
      <c r="RDH5" s="146"/>
      <c r="RDI5" s="146"/>
      <c r="RDJ5" s="146"/>
      <c r="RDK5" s="146"/>
      <c r="RDL5" s="146"/>
      <c r="RDM5" s="146"/>
      <c r="RDN5" s="146"/>
      <c r="RDO5" s="146"/>
      <c r="RDP5" s="146"/>
      <c r="RDQ5" s="146"/>
      <c r="RDR5" s="146"/>
      <c r="RDS5" s="146"/>
      <c r="RDT5" s="146"/>
      <c r="RDU5" s="146"/>
      <c r="RDV5" s="146"/>
      <c r="RDW5" s="146"/>
      <c r="RDX5" s="146"/>
      <c r="RDY5" s="146"/>
      <c r="RDZ5" s="146"/>
      <c r="REA5" s="146"/>
      <c r="REB5" s="146"/>
      <c r="REC5" s="146"/>
      <c r="RED5" s="146"/>
      <c r="REE5" s="146"/>
      <c r="REF5" s="146"/>
      <c r="REG5" s="146"/>
      <c r="REH5" s="146"/>
      <c r="REI5" s="146"/>
      <c r="REJ5" s="146"/>
      <c r="REK5" s="146"/>
      <c r="REL5" s="146"/>
      <c r="REM5" s="146"/>
      <c r="REN5" s="146"/>
      <c r="REO5" s="146"/>
      <c r="REP5" s="146"/>
      <c r="REQ5" s="146"/>
      <c r="RER5" s="146"/>
      <c r="RES5" s="146"/>
      <c r="RET5" s="146"/>
      <c r="REU5" s="146"/>
      <c r="REV5" s="146"/>
      <c r="REW5" s="146"/>
      <c r="REX5" s="146"/>
      <c r="REY5" s="146"/>
      <c r="REZ5" s="146"/>
      <c r="RFA5" s="146"/>
      <c r="RFB5" s="146"/>
      <c r="RFC5" s="146"/>
      <c r="RFD5" s="146"/>
      <c r="RFE5" s="146"/>
      <c r="RFF5" s="146"/>
      <c r="RFG5" s="146"/>
      <c r="RFH5" s="146"/>
      <c r="RFI5" s="146"/>
      <c r="RFJ5" s="146"/>
      <c r="RFK5" s="146"/>
      <c r="RFL5" s="146"/>
      <c r="RFM5" s="146"/>
      <c r="RFN5" s="146"/>
      <c r="RFO5" s="146"/>
      <c r="RFP5" s="146"/>
      <c r="RFQ5" s="146"/>
      <c r="RFR5" s="146"/>
      <c r="RFS5" s="146"/>
      <c r="RFT5" s="146"/>
      <c r="RFU5" s="146"/>
      <c r="RFV5" s="146"/>
      <c r="RFW5" s="146"/>
      <c r="RFX5" s="146"/>
      <c r="RFY5" s="146"/>
      <c r="RFZ5" s="146"/>
      <c r="RGA5" s="146"/>
      <c r="RGB5" s="146"/>
      <c r="RGC5" s="146"/>
      <c r="RGD5" s="146"/>
      <c r="RGE5" s="146"/>
      <c r="RGF5" s="146"/>
      <c r="RGG5" s="146"/>
      <c r="RGH5" s="146"/>
      <c r="RGI5" s="146"/>
      <c r="RGJ5" s="146"/>
      <c r="RGK5" s="146"/>
      <c r="RGL5" s="146"/>
      <c r="RGM5" s="146"/>
      <c r="RGN5" s="146"/>
      <c r="RGO5" s="146"/>
      <c r="RGP5" s="146"/>
      <c r="RGQ5" s="146"/>
      <c r="RGR5" s="146"/>
      <c r="RGS5" s="146"/>
      <c r="RGT5" s="146"/>
      <c r="RGU5" s="146"/>
      <c r="RGV5" s="146"/>
      <c r="RGW5" s="146"/>
      <c r="RGX5" s="146"/>
      <c r="RGY5" s="146"/>
      <c r="RGZ5" s="146"/>
      <c r="RHA5" s="146"/>
      <c r="RHB5" s="146"/>
      <c r="RHC5" s="146"/>
      <c r="RHD5" s="146"/>
      <c r="RHE5" s="146"/>
      <c r="RHF5" s="146"/>
      <c r="RHG5" s="146"/>
      <c r="RHH5" s="146"/>
      <c r="RHI5" s="146"/>
      <c r="RHJ5" s="146"/>
      <c r="RHK5" s="146"/>
      <c r="RHL5" s="146"/>
      <c r="RHM5" s="146"/>
      <c r="RHN5" s="146"/>
      <c r="RHO5" s="146"/>
      <c r="RHP5" s="146"/>
      <c r="RHQ5" s="146"/>
      <c r="RHR5" s="146"/>
      <c r="RHS5" s="146"/>
      <c r="RHT5" s="146"/>
      <c r="RHU5" s="146"/>
      <c r="RHV5" s="146"/>
      <c r="RHW5" s="146"/>
      <c r="RHX5" s="146"/>
      <c r="RHY5" s="146"/>
      <c r="RHZ5" s="146"/>
      <c r="RIA5" s="146"/>
      <c r="RIB5" s="146"/>
      <c r="RIC5" s="146"/>
      <c r="RID5" s="146"/>
      <c r="RIE5" s="146"/>
      <c r="RIF5" s="146"/>
      <c r="RIG5" s="146"/>
      <c r="RIH5" s="146"/>
      <c r="RII5" s="146"/>
      <c r="RIJ5" s="146"/>
      <c r="RIK5" s="146"/>
      <c r="RIL5" s="146"/>
      <c r="RIM5" s="146"/>
      <c r="RIN5" s="146"/>
      <c r="RIO5" s="146"/>
      <c r="RIP5" s="146"/>
      <c r="RIQ5" s="146"/>
      <c r="RIR5" s="146"/>
      <c r="RIS5" s="146"/>
      <c r="RIT5" s="146"/>
      <c r="RIU5" s="146"/>
      <c r="RIV5" s="146"/>
      <c r="RIW5" s="146"/>
      <c r="RIX5" s="146"/>
      <c r="RIY5" s="146"/>
      <c r="RIZ5" s="146"/>
      <c r="RJA5" s="146"/>
      <c r="RJB5" s="146"/>
      <c r="RJC5" s="146"/>
      <c r="RJD5" s="146"/>
      <c r="RJE5" s="146"/>
      <c r="RJF5" s="146"/>
      <c r="RJG5" s="146"/>
      <c r="RJH5" s="146"/>
      <c r="RJI5" s="146"/>
      <c r="RJJ5" s="146"/>
      <c r="RJK5" s="146"/>
      <c r="RJL5" s="146"/>
      <c r="RJM5" s="146"/>
      <c r="RJN5" s="146"/>
      <c r="RJO5" s="146"/>
      <c r="RJP5" s="146"/>
      <c r="RJQ5" s="146"/>
      <c r="RJR5" s="146"/>
      <c r="RJS5" s="146"/>
      <c r="RJT5" s="146"/>
      <c r="RJU5" s="146"/>
      <c r="RJV5" s="146"/>
      <c r="RJW5" s="146"/>
      <c r="RJX5" s="146"/>
      <c r="RJY5" s="146"/>
      <c r="RJZ5" s="146"/>
      <c r="RKA5" s="146"/>
      <c r="RKB5" s="146"/>
      <c r="RKC5" s="146"/>
      <c r="RKD5" s="146"/>
      <c r="RKE5" s="146"/>
      <c r="RKF5" s="146"/>
      <c r="RKG5" s="146"/>
      <c r="RKH5" s="146"/>
      <c r="RKI5" s="146"/>
      <c r="RKJ5" s="146"/>
      <c r="RKK5" s="146"/>
      <c r="RKL5" s="146"/>
      <c r="RKM5" s="146"/>
      <c r="RKN5" s="146"/>
      <c r="RKO5" s="146"/>
      <c r="RKP5" s="146"/>
      <c r="RKQ5" s="146"/>
      <c r="RKR5" s="146"/>
      <c r="RKS5" s="146"/>
      <c r="RKT5" s="146"/>
      <c r="RKU5" s="146"/>
      <c r="RKV5" s="146"/>
      <c r="RKW5" s="146"/>
      <c r="RKX5" s="146"/>
      <c r="RKY5" s="146"/>
      <c r="RKZ5" s="146"/>
      <c r="RLA5" s="146"/>
      <c r="RLB5" s="146"/>
      <c r="RLC5" s="146"/>
      <c r="RLD5" s="146"/>
      <c r="RLE5" s="146"/>
      <c r="RLF5" s="146"/>
      <c r="RLG5" s="146"/>
      <c r="RLH5" s="146"/>
      <c r="RLI5" s="146"/>
      <c r="RLJ5" s="146"/>
      <c r="RLK5" s="146"/>
      <c r="RLL5" s="146"/>
      <c r="RLM5" s="146"/>
      <c r="RLN5" s="146"/>
      <c r="RLO5" s="146"/>
      <c r="RLP5" s="146"/>
      <c r="RLQ5" s="146"/>
      <c r="RLR5" s="146"/>
      <c r="RLS5" s="146"/>
      <c r="RLT5" s="146"/>
      <c r="RLU5" s="146"/>
      <c r="RLV5" s="146"/>
      <c r="RLW5" s="146"/>
      <c r="RLX5" s="146"/>
      <c r="RLY5" s="146"/>
      <c r="RLZ5" s="146"/>
      <c r="RMA5" s="146"/>
      <c r="RMB5" s="146"/>
      <c r="RMC5" s="146"/>
      <c r="RMD5" s="146"/>
      <c r="RME5" s="146"/>
      <c r="RMF5" s="146"/>
      <c r="RMG5" s="146"/>
      <c r="RMH5" s="146"/>
      <c r="RMI5" s="146"/>
      <c r="RMJ5" s="146"/>
      <c r="RMK5" s="146"/>
      <c r="RML5" s="146"/>
      <c r="RMM5" s="146"/>
      <c r="RMN5" s="146"/>
      <c r="RMO5" s="146"/>
      <c r="RMP5" s="146"/>
      <c r="RMQ5" s="146"/>
      <c r="RMR5" s="146"/>
      <c r="RMS5" s="146"/>
      <c r="RMT5" s="146"/>
      <c r="RMU5" s="146"/>
      <c r="RMV5" s="146"/>
      <c r="RMW5" s="146"/>
      <c r="RMX5" s="146"/>
      <c r="RMY5" s="146"/>
      <c r="RMZ5" s="146"/>
      <c r="RNA5" s="146"/>
      <c r="RNB5" s="146"/>
      <c r="RNC5" s="146"/>
      <c r="RND5" s="146"/>
      <c r="RNE5" s="146"/>
      <c r="RNF5" s="146"/>
      <c r="RNG5" s="146"/>
      <c r="RNH5" s="146"/>
      <c r="RNI5" s="146"/>
      <c r="RNJ5" s="146"/>
      <c r="RNK5" s="146"/>
      <c r="RNL5" s="146"/>
      <c r="RNM5" s="146"/>
      <c r="RNN5" s="146"/>
      <c r="RNO5" s="146"/>
      <c r="RNP5" s="146"/>
      <c r="RNQ5" s="146"/>
      <c r="RNR5" s="146"/>
      <c r="RNS5" s="146"/>
      <c r="RNT5" s="146"/>
      <c r="RNU5" s="146"/>
      <c r="RNV5" s="146"/>
      <c r="RNW5" s="146"/>
      <c r="RNX5" s="146"/>
      <c r="RNY5" s="146"/>
      <c r="RNZ5" s="146"/>
      <c r="ROA5" s="146"/>
      <c r="ROB5" s="146"/>
      <c r="ROC5" s="146"/>
      <c r="ROD5" s="146"/>
      <c r="ROE5" s="146"/>
      <c r="ROF5" s="146"/>
      <c r="ROG5" s="146"/>
      <c r="ROH5" s="146"/>
      <c r="ROI5" s="146"/>
      <c r="ROJ5" s="146"/>
      <c r="ROK5" s="146"/>
      <c r="ROL5" s="146"/>
      <c r="ROM5" s="146"/>
      <c r="RON5" s="146"/>
      <c r="ROO5" s="146"/>
      <c r="ROP5" s="146"/>
      <c r="ROQ5" s="146"/>
      <c r="ROR5" s="146"/>
      <c r="ROS5" s="146"/>
      <c r="ROT5" s="146"/>
      <c r="ROU5" s="146"/>
      <c r="ROV5" s="146"/>
      <c r="ROW5" s="146"/>
      <c r="ROX5" s="146"/>
      <c r="ROY5" s="146"/>
      <c r="ROZ5" s="146"/>
      <c r="RPA5" s="146"/>
      <c r="RPB5" s="146"/>
      <c r="RPC5" s="146"/>
      <c r="RPD5" s="146"/>
      <c r="RPE5" s="146"/>
      <c r="RPF5" s="146"/>
      <c r="RPG5" s="146"/>
      <c r="RPH5" s="146"/>
      <c r="RPI5" s="146"/>
      <c r="RPJ5" s="146"/>
      <c r="RPK5" s="146"/>
      <c r="RPL5" s="146"/>
      <c r="RPM5" s="146"/>
      <c r="RPN5" s="146"/>
      <c r="RPO5" s="146"/>
      <c r="RPP5" s="146"/>
      <c r="RPQ5" s="146"/>
      <c r="RPR5" s="146"/>
      <c r="RPS5" s="146"/>
      <c r="RPT5" s="146"/>
      <c r="RPU5" s="146"/>
      <c r="RPV5" s="146"/>
      <c r="RPW5" s="146"/>
      <c r="RPX5" s="146"/>
      <c r="RPY5" s="146"/>
      <c r="RPZ5" s="146"/>
      <c r="RQA5" s="146"/>
      <c r="RQB5" s="146"/>
      <c r="RQC5" s="146"/>
      <c r="RQD5" s="146"/>
      <c r="RQE5" s="146"/>
      <c r="RQF5" s="146"/>
      <c r="RQG5" s="146"/>
      <c r="RQH5" s="146"/>
      <c r="RQI5" s="146"/>
      <c r="RQJ5" s="146"/>
      <c r="RQK5" s="146"/>
      <c r="RQL5" s="146"/>
      <c r="RQM5" s="146"/>
      <c r="RQN5" s="146"/>
      <c r="RQO5" s="146"/>
      <c r="RQP5" s="146"/>
      <c r="RQQ5" s="146"/>
      <c r="RQR5" s="146"/>
      <c r="RQS5" s="146"/>
      <c r="RQT5" s="146"/>
      <c r="RQU5" s="146"/>
      <c r="RQV5" s="146"/>
      <c r="RQW5" s="146"/>
      <c r="RQX5" s="146"/>
      <c r="RQY5" s="146"/>
      <c r="RQZ5" s="146"/>
      <c r="RRA5" s="146"/>
      <c r="RRB5" s="146"/>
      <c r="RRC5" s="146"/>
      <c r="RRD5" s="146"/>
      <c r="RRE5" s="146"/>
      <c r="RRF5" s="146"/>
      <c r="RRG5" s="146"/>
      <c r="RRH5" s="146"/>
      <c r="RRI5" s="146"/>
      <c r="RRJ5" s="146"/>
      <c r="RRK5" s="146"/>
      <c r="RRL5" s="146"/>
      <c r="RRM5" s="146"/>
      <c r="RRN5" s="146"/>
      <c r="RRO5" s="146"/>
      <c r="RRP5" s="146"/>
      <c r="RRQ5" s="146"/>
      <c r="RRR5" s="146"/>
      <c r="RRS5" s="146"/>
      <c r="RRT5" s="146"/>
      <c r="RRU5" s="146"/>
      <c r="RRV5" s="146"/>
      <c r="RRW5" s="146"/>
      <c r="RRX5" s="146"/>
      <c r="RRY5" s="146"/>
      <c r="RRZ5" s="146"/>
      <c r="RSA5" s="146"/>
      <c r="RSB5" s="146"/>
      <c r="RSC5" s="146"/>
      <c r="RSD5" s="146"/>
      <c r="RSE5" s="146"/>
      <c r="RSF5" s="146"/>
      <c r="RSG5" s="146"/>
      <c r="RSH5" s="146"/>
      <c r="RSI5" s="146"/>
      <c r="RSJ5" s="146"/>
      <c r="RSK5" s="146"/>
      <c r="RSL5" s="146"/>
      <c r="RSM5" s="146"/>
      <c r="RSN5" s="146"/>
      <c r="RSO5" s="146"/>
      <c r="RSP5" s="146"/>
      <c r="RSQ5" s="146"/>
      <c r="RSR5" s="146"/>
      <c r="RSS5" s="146"/>
      <c r="RST5" s="146"/>
      <c r="RSU5" s="146"/>
      <c r="RSV5" s="146"/>
      <c r="RSW5" s="146"/>
      <c r="RSX5" s="146"/>
      <c r="RSY5" s="146"/>
      <c r="RSZ5" s="146"/>
      <c r="RTA5" s="146"/>
      <c r="RTB5" s="146"/>
      <c r="RTC5" s="146"/>
      <c r="RTD5" s="146"/>
      <c r="RTE5" s="146"/>
      <c r="RTF5" s="146"/>
      <c r="RTG5" s="146"/>
      <c r="RTH5" s="146"/>
      <c r="RTI5" s="146"/>
      <c r="RTJ5" s="146"/>
      <c r="RTK5" s="146"/>
      <c r="RTL5" s="146"/>
      <c r="RTM5" s="146"/>
      <c r="RTN5" s="146"/>
      <c r="RTO5" s="146"/>
      <c r="RTP5" s="146"/>
      <c r="RTQ5" s="146"/>
      <c r="RTR5" s="146"/>
      <c r="RTS5" s="146"/>
      <c r="RTT5" s="146"/>
      <c r="RTU5" s="146"/>
      <c r="RTV5" s="146"/>
      <c r="RTW5" s="146"/>
      <c r="RTX5" s="146"/>
      <c r="RTY5" s="146"/>
      <c r="RTZ5" s="146"/>
      <c r="RUA5" s="146"/>
      <c r="RUB5" s="146"/>
      <c r="RUC5" s="146"/>
      <c r="RUD5" s="146"/>
      <c r="RUE5" s="146"/>
      <c r="RUF5" s="146"/>
      <c r="RUG5" s="146"/>
      <c r="RUH5" s="146"/>
      <c r="RUI5" s="146"/>
      <c r="RUJ5" s="146"/>
      <c r="RUK5" s="146"/>
      <c r="RUL5" s="146"/>
      <c r="RUM5" s="146"/>
      <c r="RUN5" s="146"/>
      <c r="RUO5" s="146"/>
      <c r="RUP5" s="146"/>
      <c r="RUQ5" s="146"/>
      <c r="RUR5" s="146"/>
      <c r="RUS5" s="146"/>
      <c r="RUT5" s="146"/>
      <c r="RUU5" s="146"/>
      <c r="RUV5" s="146"/>
      <c r="RUW5" s="146"/>
      <c r="RUX5" s="146"/>
      <c r="RUY5" s="146"/>
      <c r="RUZ5" s="146"/>
      <c r="RVA5" s="146"/>
      <c r="RVB5" s="146"/>
      <c r="RVC5" s="146"/>
      <c r="RVD5" s="146"/>
      <c r="RVE5" s="146"/>
      <c r="RVF5" s="146"/>
      <c r="RVG5" s="146"/>
      <c r="RVH5" s="146"/>
      <c r="RVI5" s="146"/>
      <c r="RVJ5" s="146"/>
      <c r="RVK5" s="146"/>
      <c r="RVL5" s="146"/>
      <c r="RVM5" s="146"/>
      <c r="RVN5" s="146"/>
      <c r="RVO5" s="146"/>
      <c r="RVP5" s="146"/>
      <c r="RVQ5" s="146"/>
      <c r="RVR5" s="146"/>
      <c r="RVS5" s="146"/>
      <c r="RVT5" s="146"/>
      <c r="RVU5" s="146"/>
      <c r="RVV5" s="146"/>
      <c r="RVW5" s="146"/>
      <c r="RVX5" s="146"/>
      <c r="RVY5" s="146"/>
      <c r="RVZ5" s="146"/>
      <c r="RWA5" s="146"/>
      <c r="RWB5" s="146"/>
      <c r="RWC5" s="146"/>
      <c r="RWD5" s="146"/>
      <c r="RWE5" s="146"/>
      <c r="RWF5" s="146"/>
      <c r="RWG5" s="146"/>
      <c r="RWH5" s="146"/>
      <c r="RWI5" s="146"/>
      <c r="RWJ5" s="146"/>
      <c r="RWK5" s="146"/>
      <c r="RWL5" s="146"/>
      <c r="RWM5" s="146"/>
      <c r="RWN5" s="146"/>
      <c r="RWO5" s="146"/>
      <c r="RWP5" s="146"/>
      <c r="RWQ5" s="146"/>
      <c r="RWR5" s="146"/>
      <c r="RWS5" s="146"/>
      <c r="RWT5" s="146"/>
      <c r="RWU5" s="146"/>
      <c r="RWV5" s="146"/>
      <c r="RWW5" s="146"/>
      <c r="RWX5" s="146"/>
      <c r="RWY5" s="146"/>
      <c r="RWZ5" s="146"/>
      <c r="RXA5" s="146"/>
      <c r="RXB5" s="146"/>
      <c r="RXC5" s="146"/>
      <c r="RXD5" s="146"/>
      <c r="RXE5" s="146"/>
      <c r="RXF5" s="146"/>
      <c r="RXG5" s="146"/>
      <c r="RXH5" s="146"/>
      <c r="RXI5" s="146"/>
      <c r="RXJ5" s="146"/>
      <c r="RXK5" s="146"/>
      <c r="RXL5" s="146"/>
      <c r="RXM5" s="146"/>
      <c r="RXN5" s="146"/>
      <c r="RXO5" s="146"/>
      <c r="RXP5" s="146"/>
      <c r="RXQ5" s="146"/>
      <c r="RXR5" s="146"/>
      <c r="RXS5" s="146"/>
      <c r="RXT5" s="146"/>
      <c r="RXU5" s="146"/>
      <c r="RXV5" s="146"/>
      <c r="RXW5" s="146"/>
      <c r="RXX5" s="146"/>
      <c r="RXY5" s="146"/>
      <c r="RXZ5" s="146"/>
      <c r="RYA5" s="146"/>
      <c r="RYB5" s="146"/>
      <c r="RYC5" s="146"/>
      <c r="RYD5" s="146"/>
      <c r="RYE5" s="146"/>
      <c r="RYF5" s="146"/>
      <c r="RYG5" s="146"/>
      <c r="RYH5" s="146"/>
      <c r="RYI5" s="146"/>
      <c r="RYJ5" s="146"/>
      <c r="RYK5" s="146"/>
      <c r="RYL5" s="146"/>
      <c r="RYM5" s="146"/>
      <c r="RYN5" s="146"/>
      <c r="RYO5" s="146"/>
      <c r="RYP5" s="146"/>
      <c r="RYQ5" s="146"/>
      <c r="RYR5" s="146"/>
      <c r="RYS5" s="146"/>
      <c r="RYT5" s="146"/>
      <c r="RYU5" s="146"/>
      <c r="RYV5" s="146"/>
      <c r="RYW5" s="146"/>
      <c r="RYX5" s="146"/>
      <c r="RYY5" s="146"/>
      <c r="RYZ5" s="146"/>
      <c r="RZA5" s="146"/>
      <c r="RZB5" s="146"/>
      <c r="RZC5" s="146"/>
      <c r="RZD5" s="146"/>
      <c r="RZE5" s="146"/>
      <c r="RZF5" s="146"/>
      <c r="RZG5" s="146"/>
      <c r="RZH5" s="146"/>
      <c r="RZI5" s="146"/>
      <c r="RZJ5" s="146"/>
      <c r="RZK5" s="146"/>
      <c r="RZL5" s="146"/>
      <c r="RZM5" s="146"/>
      <c r="RZN5" s="146"/>
      <c r="RZO5" s="146"/>
      <c r="RZP5" s="146"/>
      <c r="RZQ5" s="146"/>
      <c r="RZR5" s="146"/>
      <c r="RZS5" s="146"/>
      <c r="RZT5" s="146"/>
      <c r="RZU5" s="146"/>
      <c r="RZV5" s="146"/>
      <c r="RZW5" s="146"/>
      <c r="RZX5" s="146"/>
      <c r="RZY5" s="146"/>
      <c r="RZZ5" s="146"/>
      <c r="SAA5" s="146"/>
      <c r="SAB5" s="146"/>
      <c r="SAC5" s="146"/>
      <c r="SAD5" s="146"/>
      <c r="SAE5" s="146"/>
      <c r="SAF5" s="146"/>
      <c r="SAG5" s="146"/>
      <c r="SAH5" s="146"/>
      <c r="SAI5" s="146"/>
      <c r="SAJ5" s="146"/>
      <c r="SAK5" s="146"/>
      <c r="SAL5" s="146"/>
      <c r="SAM5" s="146"/>
      <c r="SAN5" s="146"/>
      <c r="SAO5" s="146"/>
      <c r="SAP5" s="146"/>
      <c r="SAQ5" s="146"/>
      <c r="SAR5" s="146"/>
      <c r="SAS5" s="146"/>
      <c r="SAT5" s="146"/>
      <c r="SAU5" s="146"/>
      <c r="SAV5" s="146"/>
      <c r="SAW5" s="146"/>
      <c r="SAX5" s="146"/>
      <c r="SAY5" s="146"/>
      <c r="SAZ5" s="146"/>
      <c r="SBA5" s="146"/>
      <c r="SBB5" s="146"/>
      <c r="SBC5" s="146"/>
      <c r="SBD5" s="146"/>
      <c r="SBE5" s="146"/>
      <c r="SBF5" s="146"/>
      <c r="SBG5" s="146"/>
      <c r="SBH5" s="146"/>
      <c r="SBI5" s="146"/>
      <c r="SBJ5" s="146"/>
      <c r="SBK5" s="146"/>
      <c r="SBL5" s="146"/>
      <c r="SBM5" s="146"/>
      <c r="SBN5" s="146"/>
      <c r="SBO5" s="146"/>
      <c r="SBP5" s="146"/>
      <c r="SBQ5" s="146"/>
      <c r="SBR5" s="146"/>
      <c r="SBS5" s="146"/>
      <c r="SBT5" s="146"/>
      <c r="SBU5" s="146"/>
      <c r="SBV5" s="146"/>
      <c r="SBW5" s="146"/>
      <c r="SBX5" s="146"/>
      <c r="SBY5" s="146"/>
      <c r="SBZ5" s="146"/>
      <c r="SCA5" s="146"/>
      <c r="SCB5" s="146"/>
      <c r="SCC5" s="146"/>
      <c r="SCD5" s="146"/>
      <c r="SCE5" s="146"/>
      <c r="SCF5" s="146"/>
      <c r="SCG5" s="146"/>
      <c r="SCH5" s="146"/>
      <c r="SCI5" s="146"/>
      <c r="SCJ5" s="146"/>
      <c r="SCK5" s="146"/>
      <c r="SCL5" s="146"/>
      <c r="SCM5" s="146"/>
      <c r="SCN5" s="146"/>
      <c r="SCO5" s="146"/>
      <c r="SCP5" s="146"/>
      <c r="SCQ5" s="146"/>
      <c r="SCR5" s="146"/>
      <c r="SCS5" s="146"/>
      <c r="SCT5" s="146"/>
      <c r="SCU5" s="146"/>
      <c r="SCV5" s="146"/>
      <c r="SCW5" s="146"/>
      <c r="SCX5" s="146"/>
      <c r="SCY5" s="146"/>
      <c r="SCZ5" s="146"/>
      <c r="SDA5" s="146"/>
      <c r="SDB5" s="146"/>
      <c r="SDC5" s="146"/>
      <c r="SDD5" s="146"/>
      <c r="SDE5" s="146"/>
      <c r="SDF5" s="146"/>
      <c r="SDG5" s="146"/>
      <c r="SDH5" s="146"/>
      <c r="SDI5" s="146"/>
      <c r="SDJ5" s="146"/>
      <c r="SDK5" s="146"/>
      <c r="SDL5" s="146"/>
      <c r="SDM5" s="146"/>
      <c r="SDN5" s="146"/>
      <c r="SDO5" s="146"/>
      <c r="SDP5" s="146"/>
      <c r="SDQ5" s="146"/>
      <c r="SDR5" s="146"/>
      <c r="SDS5" s="146"/>
      <c r="SDT5" s="146"/>
      <c r="SDU5" s="146"/>
      <c r="SDV5" s="146"/>
      <c r="SDW5" s="146"/>
      <c r="SDX5" s="146"/>
      <c r="SDY5" s="146"/>
      <c r="SDZ5" s="146"/>
      <c r="SEA5" s="146"/>
      <c r="SEB5" s="146"/>
      <c r="SEC5" s="146"/>
      <c r="SED5" s="146"/>
      <c r="SEE5" s="146"/>
      <c r="SEF5" s="146"/>
      <c r="SEG5" s="146"/>
      <c r="SEH5" s="146"/>
      <c r="SEI5" s="146"/>
      <c r="SEJ5" s="146"/>
      <c r="SEK5" s="146"/>
      <c r="SEL5" s="146"/>
      <c r="SEM5" s="146"/>
      <c r="SEN5" s="146"/>
      <c r="SEO5" s="146"/>
      <c r="SEP5" s="146"/>
      <c r="SEQ5" s="146"/>
      <c r="SER5" s="146"/>
      <c r="SES5" s="146"/>
      <c r="SET5" s="146"/>
      <c r="SEU5" s="146"/>
      <c r="SEV5" s="146"/>
      <c r="SEW5" s="146"/>
      <c r="SEX5" s="146"/>
      <c r="SEY5" s="146"/>
      <c r="SEZ5" s="146"/>
      <c r="SFA5" s="146"/>
      <c r="SFB5" s="146"/>
      <c r="SFC5" s="146"/>
      <c r="SFD5" s="146"/>
      <c r="SFE5" s="146"/>
      <c r="SFF5" s="146"/>
      <c r="SFG5" s="146"/>
      <c r="SFH5" s="146"/>
      <c r="SFI5" s="146"/>
      <c r="SFJ5" s="146"/>
      <c r="SFK5" s="146"/>
      <c r="SFL5" s="146"/>
      <c r="SFM5" s="146"/>
      <c r="SFN5" s="146"/>
      <c r="SFO5" s="146"/>
      <c r="SFP5" s="146"/>
      <c r="SFQ5" s="146"/>
      <c r="SFR5" s="146"/>
      <c r="SFS5" s="146"/>
      <c r="SFT5" s="146"/>
      <c r="SFU5" s="146"/>
      <c r="SFV5" s="146"/>
      <c r="SFW5" s="146"/>
      <c r="SFX5" s="146"/>
      <c r="SFY5" s="146"/>
      <c r="SFZ5" s="146"/>
      <c r="SGA5" s="146"/>
      <c r="SGB5" s="146"/>
      <c r="SGC5" s="146"/>
      <c r="SGD5" s="146"/>
      <c r="SGE5" s="146"/>
      <c r="SGF5" s="146"/>
      <c r="SGG5" s="146"/>
      <c r="SGH5" s="146"/>
      <c r="SGI5" s="146"/>
      <c r="SGJ5" s="146"/>
      <c r="SGK5" s="146"/>
      <c r="SGL5" s="146"/>
      <c r="SGM5" s="146"/>
      <c r="SGN5" s="146"/>
      <c r="SGO5" s="146"/>
      <c r="SGP5" s="146"/>
      <c r="SGQ5" s="146"/>
      <c r="SGR5" s="146"/>
      <c r="SGS5" s="146"/>
      <c r="SGT5" s="146"/>
      <c r="SGU5" s="146"/>
      <c r="SGV5" s="146"/>
      <c r="SGW5" s="146"/>
      <c r="SGX5" s="146"/>
      <c r="SGY5" s="146"/>
      <c r="SGZ5" s="146"/>
      <c r="SHA5" s="146"/>
      <c r="SHB5" s="146"/>
      <c r="SHC5" s="146"/>
      <c r="SHD5" s="146"/>
      <c r="SHE5" s="146"/>
      <c r="SHF5" s="146"/>
      <c r="SHG5" s="146"/>
      <c r="SHH5" s="146"/>
      <c r="SHI5" s="146"/>
      <c r="SHJ5" s="146"/>
      <c r="SHK5" s="146"/>
      <c r="SHL5" s="146"/>
      <c r="SHM5" s="146"/>
      <c r="SHN5" s="146"/>
      <c r="SHO5" s="146"/>
      <c r="SHP5" s="146"/>
      <c r="SHQ5" s="146"/>
      <c r="SHR5" s="146"/>
      <c r="SHS5" s="146"/>
      <c r="SHT5" s="146"/>
      <c r="SHU5" s="146"/>
      <c r="SHV5" s="146"/>
      <c r="SHW5" s="146"/>
      <c r="SHX5" s="146"/>
      <c r="SHY5" s="146"/>
      <c r="SHZ5" s="146"/>
      <c r="SIA5" s="146"/>
      <c r="SIB5" s="146"/>
      <c r="SIC5" s="146"/>
      <c r="SID5" s="146"/>
      <c r="SIE5" s="146"/>
      <c r="SIF5" s="146"/>
      <c r="SIG5" s="146"/>
      <c r="SIH5" s="146"/>
      <c r="SII5" s="146"/>
      <c r="SIJ5" s="146"/>
      <c r="SIK5" s="146"/>
      <c r="SIL5" s="146"/>
      <c r="SIM5" s="146"/>
      <c r="SIN5" s="146"/>
      <c r="SIO5" s="146"/>
      <c r="SIP5" s="146"/>
      <c r="SIQ5" s="146"/>
      <c r="SIR5" s="146"/>
      <c r="SIS5" s="146"/>
      <c r="SIT5" s="146"/>
      <c r="SIU5" s="146"/>
      <c r="SIV5" s="146"/>
      <c r="SIW5" s="146"/>
      <c r="SIX5" s="146"/>
      <c r="SIY5" s="146"/>
      <c r="SIZ5" s="146"/>
      <c r="SJA5" s="146"/>
      <c r="SJB5" s="146"/>
      <c r="SJC5" s="146"/>
      <c r="SJD5" s="146"/>
      <c r="SJE5" s="146"/>
      <c r="SJF5" s="146"/>
      <c r="SJG5" s="146"/>
      <c r="SJH5" s="146"/>
      <c r="SJI5" s="146"/>
      <c r="SJJ5" s="146"/>
      <c r="SJK5" s="146"/>
      <c r="SJL5" s="146"/>
      <c r="SJM5" s="146"/>
      <c r="SJN5" s="146"/>
      <c r="SJO5" s="146"/>
      <c r="SJP5" s="146"/>
      <c r="SJQ5" s="146"/>
      <c r="SJR5" s="146"/>
      <c r="SJS5" s="146"/>
      <c r="SJT5" s="146"/>
      <c r="SJU5" s="146"/>
      <c r="SJV5" s="146"/>
      <c r="SJW5" s="146"/>
      <c r="SJX5" s="146"/>
      <c r="SJY5" s="146"/>
      <c r="SJZ5" s="146"/>
      <c r="SKA5" s="146"/>
      <c r="SKB5" s="146"/>
      <c r="SKC5" s="146"/>
      <c r="SKD5" s="146"/>
      <c r="SKE5" s="146"/>
      <c r="SKF5" s="146"/>
      <c r="SKG5" s="146"/>
      <c r="SKH5" s="146"/>
      <c r="SKI5" s="146"/>
      <c r="SKJ5" s="146"/>
      <c r="SKK5" s="146"/>
      <c r="SKL5" s="146"/>
      <c r="SKM5" s="146"/>
      <c r="SKN5" s="146"/>
      <c r="SKO5" s="146"/>
      <c r="SKP5" s="146"/>
      <c r="SKQ5" s="146"/>
      <c r="SKR5" s="146"/>
      <c r="SKS5" s="146"/>
      <c r="SKT5" s="146"/>
      <c r="SKU5" s="146"/>
      <c r="SKV5" s="146"/>
      <c r="SKW5" s="146"/>
      <c r="SKX5" s="146"/>
      <c r="SKY5" s="146"/>
      <c r="SKZ5" s="146"/>
      <c r="SLA5" s="146"/>
      <c r="SLB5" s="146"/>
      <c r="SLC5" s="146"/>
      <c r="SLD5" s="146"/>
      <c r="SLE5" s="146"/>
      <c r="SLF5" s="146"/>
      <c r="SLG5" s="146"/>
      <c r="SLH5" s="146"/>
      <c r="SLI5" s="146"/>
      <c r="SLJ5" s="146"/>
      <c r="SLK5" s="146"/>
      <c r="SLL5" s="146"/>
      <c r="SLM5" s="146"/>
      <c r="SLN5" s="146"/>
      <c r="SLO5" s="146"/>
      <c r="SLP5" s="146"/>
      <c r="SLQ5" s="146"/>
      <c r="SLR5" s="146"/>
      <c r="SLS5" s="146"/>
      <c r="SLT5" s="146"/>
      <c r="SLU5" s="146"/>
      <c r="SLV5" s="146"/>
      <c r="SLW5" s="146"/>
      <c r="SLX5" s="146"/>
      <c r="SLY5" s="146"/>
      <c r="SLZ5" s="146"/>
      <c r="SMA5" s="146"/>
      <c r="SMB5" s="146"/>
      <c r="SMC5" s="146"/>
      <c r="SMD5" s="146"/>
      <c r="SME5" s="146"/>
      <c r="SMF5" s="146"/>
      <c r="SMG5" s="146"/>
      <c r="SMH5" s="146"/>
      <c r="SMI5" s="146"/>
      <c r="SMJ5" s="146"/>
      <c r="SMK5" s="146"/>
      <c r="SML5" s="146"/>
      <c r="SMM5" s="146"/>
      <c r="SMN5" s="146"/>
      <c r="SMO5" s="146"/>
      <c r="SMP5" s="146"/>
      <c r="SMQ5" s="146"/>
      <c r="SMR5" s="146"/>
      <c r="SMS5" s="146"/>
      <c r="SMT5" s="146"/>
      <c r="SMU5" s="146"/>
      <c r="SMV5" s="146"/>
      <c r="SMW5" s="146"/>
      <c r="SMX5" s="146"/>
      <c r="SMY5" s="146"/>
      <c r="SMZ5" s="146"/>
      <c r="SNA5" s="146"/>
      <c r="SNB5" s="146"/>
      <c r="SNC5" s="146"/>
      <c r="SND5" s="146"/>
      <c r="SNE5" s="146"/>
      <c r="SNF5" s="146"/>
      <c r="SNG5" s="146"/>
      <c r="SNH5" s="146"/>
      <c r="SNI5" s="146"/>
      <c r="SNJ5" s="146"/>
      <c r="SNK5" s="146"/>
      <c r="SNL5" s="146"/>
      <c r="SNM5" s="146"/>
      <c r="SNN5" s="146"/>
      <c r="SNO5" s="146"/>
      <c r="SNP5" s="146"/>
      <c r="SNQ5" s="146"/>
      <c r="SNR5" s="146"/>
      <c r="SNS5" s="146"/>
      <c r="SNT5" s="146"/>
      <c r="SNU5" s="146"/>
      <c r="SNV5" s="146"/>
      <c r="SNW5" s="146"/>
      <c r="SNX5" s="146"/>
      <c r="SNY5" s="146"/>
      <c r="SNZ5" s="146"/>
      <c r="SOA5" s="146"/>
      <c r="SOB5" s="146"/>
      <c r="SOC5" s="146"/>
      <c r="SOD5" s="146"/>
      <c r="SOE5" s="146"/>
      <c r="SOF5" s="146"/>
      <c r="SOG5" s="146"/>
      <c r="SOH5" s="146"/>
      <c r="SOI5" s="146"/>
      <c r="SOJ5" s="146"/>
      <c r="SOK5" s="146"/>
      <c r="SOL5" s="146"/>
      <c r="SOM5" s="146"/>
      <c r="SON5" s="146"/>
      <c r="SOO5" s="146"/>
      <c r="SOP5" s="146"/>
      <c r="SOQ5" s="146"/>
      <c r="SOR5" s="146"/>
      <c r="SOS5" s="146"/>
      <c r="SOT5" s="146"/>
      <c r="SOU5" s="146"/>
      <c r="SOV5" s="146"/>
      <c r="SOW5" s="146"/>
      <c r="SOX5" s="146"/>
      <c r="SOY5" s="146"/>
      <c r="SOZ5" s="146"/>
      <c r="SPA5" s="146"/>
      <c r="SPB5" s="146"/>
      <c r="SPC5" s="146"/>
      <c r="SPD5" s="146"/>
      <c r="SPE5" s="146"/>
      <c r="SPF5" s="146"/>
      <c r="SPG5" s="146"/>
      <c r="SPH5" s="146"/>
      <c r="SPI5" s="146"/>
      <c r="SPJ5" s="146"/>
      <c r="SPK5" s="146"/>
      <c r="SPL5" s="146"/>
      <c r="SPM5" s="146"/>
      <c r="SPN5" s="146"/>
      <c r="SPO5" s="146"/>
      <c r="SPP5" s="146"/>
      <c r="SPQ5" s="146"/>
      <c r="SPR5" s="146"/>
      <c r="SPS5" s="146"/>
      <c r="SPT5" s="146"/>
      <c r="SPU5" s="146"/>
      <c r="SPV5" s="146"/>
      <c r="SPW5" s="146"/>
      <c r="SPX5" s="146"/>
      <c r="SPY5" s="146"/>
      <c r="SPZ5" s="146"/>
      <c r="SQA5" s="146"/>
      <c r="SQB5" s="146"/>
      <c r="SQC5" s="146"/>
      <c r="SQD5" s="146"/>
      <c r="SQE5" s="146"/>
      <c r="SQF5" s="146"/>
      <c r="SQG5" s="146"/>
      <c r="SQH5" s="146"/>
      <c r="SQI5" s="146"/>
      <c r="SQJ5" s="146"/>
      <c r="SQK5" s="146"/>
      <c r="SQL5" s="146"/>
      <c r="SQM5" s="146"/>
      <c r="SQN5" s="146"/>
      <c r="SQO5" s="146"/>
      <c r="SQP5" s="146"/>
      <c r="SQQ5" s="146"/>
      <c r="SQR5" s="146"/>
      <c r="SQS5" s="146"/>
      <c r="SQT5" s="146"/>
      <c r="SQU5" s="146"/>
      <c r="SQV5" s="146"/>
      <c r="SQW5" s="146"/>
      <c r="SQX5" s="146"/>
      <c r="SQY5" s="146"/>
      <c r="SQZ5" s="146"/>
      <c r="SRA5" s="146"/>
      <c r="SRB5" s="146"/>
      <c r="SRC5" s="146"/>
      <c r="SRD5" s="146"/>
      <c r="SRE5" s="146"/>
      <c r="SRF5" s="146"/>
      <c r="SRG5" s="146"/>
      <c r="SRH5" s="146"/>
      <c r="SRI5" s="146"/>
      <c r="SRJ5" s="146"/>
      <c r="SRK5" s="146"/>
      <c r="SRL5" s="146"/>
      <c r="SRM5" s="146"/>
      <c r="SRN5" s="146"/>
      <c r="SRO5" s="146"/>
      <c r="SRP5" s="146"/>
      <c r="SRQ5" s="146"/>
      <c r="SRR5" s="146"/>
      <c r="SRS5" s="146"/>
      <c r="SRT5" s="146"/>
      <c r="SRU5" s="146"/>
      <c r="SRV5" s="146"/>
      <c r="SRW5" s="146"/>
      <c r="SRX5" s="146"/>
      <c r="SRY5" s="146"/>
      <c r="SRZ5" s="146"/>
      <c r="SSA5" s="146"/>
      <c r="SSB5" s="146"/>
      <c r="SSC5" s="146"/>
      <c r="SSD5" s="146"/>
      <c r="SSE5" s="146"/>
      <c r="SSF5" s="146"/>
      <c r="SSG5" s="146"/>
      <c r="SSH5" s="146"/>
      <c r="SSI5" s="146"/>
      <c r="SSJ5" s="146"/>
      <c r="SSK5" s="146"/>
      <c r="SSL5" s="146"/>
      <c r="SSM5" s="146"/>
      <c r="SSN5" s="146"/>
      <c r="SSO5" s="146"/>
      <c r="SSP5" s="146"/>
      <c r="SSQ5" s="146"/>
      <c r="SSR5" s="146"/>
      <c r="SSS5" s="146"/>
      <c r="SST5" s="146"/>
      <c r="SSU5" s="146"/>
      <c r="SSV5" s="146"/>
      <c r="SSW5" s="146"/>
      <c r="SSX5" s="146"/>
      <c r="SSY5" s="146"/>
      <c r="SSZ5" s="146"/>
      <c r="STA5" s="146"/>
      <c r="STB5" s="146"/>
      <c r="STC5" s="146"/>
      <c r="STD5" s="146"/>
      <c r="STE5" s="146"/>
      <c r="STF5" s="146"/>
      <c r="STG5" s="146"/>
      <c r="STH5" s="146"/>
      <c r="STI5" s="146"/>
      <c r="STJ5" s="146"/>
      <c r="STK5" s="146"/>
      <c r="STL5" s="146"/>
      <c r="STM5" s="146"/>
      <c r="STN5" s="146"/>
      <c r="STO5" s="146"/>
      <c r="STP5" s="146"/>
      <c r="STQ5" s="146"/>
      <c r="STR5" s="146"/>
      <c r="STS5" s="146"/>
      <c r="STT5" s="146"/>
      <c r="STU5" s="146"/>
      <c r="STV5" s="146"/>
      <c r="STW5" s="146"/>
      <c r="STX5" s="146"/>
      <c r="STY5" s="146"/>
      <c r="STZ5" s="146"/>
      <c r="SUA5" s="146"/>
      <c r="SUB5" s="146"/>
      <c r="SUC5" s="146"/>
      <c r="SUD5" s="146"/>
      <c r="SUE5" s="146"/>
      <c r="SUF5" s="146"/>
      <c r="SUG5" s="146"/>
      <c r="SUH5" s="146"/>
      <c r="SUI5" s="146"/>
      <c r="SUJ5" s="146"/>
      <c r="SUK5" s="146"/>
      <c r="SUL5" s="146"/>
      <c r="SUM5" s="146"/>
      <c r="SUN5" s="146"/>
      <c r="SUO5" s="146"/>
      <c r="SUP5" s="146"/>
      <c r="SUQ5" s="146"/>
      <c r="SUR5" s="146"/>
      <c r="SUS5" s="146"/>
      <c r="SUT5" s="146"/>
      <c r="SUU5" s="146"/>
      <c r="SUV5" s="146"/>
      <c r="SUW5" s="146"/>
      <c r="SUX5" s="146"/>
      <c r="SUY5" s="146"/>
      <c r="SUZ5" s="146"/>
      <c r="SVA5" s="146"/>
      <c r="SVB5" s="146"/>
      <c r="SVC5" s="146"/>
      <c r="SVD5" s="146"/>
      <c r="SVE5" s="146"/>
      <c r="SVF5" s="146"/>
      <c r="SVG5" s="146"/>
      <c r="SVH5" s="146"/>
      <c r="SVI5" s="146"/>
      <c r="SVJ5" s="146"/>
      <c r="SVK5" s="146"/>
      <c r="SVL5" s="146"/>
      <c r="SVM5" s="146"/>
      <c r="SVN5" s="146"/>
      <c r="SVO5" s="146"/>
      <c r="SVP5" s="146"/>
      <c r="SVQ5" s="146"/>
      <c r="SVR5" s="146"/>
      <c r="SVS5" s="146"/>
      <c r="SVT5" s="146"/>
      <c r="SVU5" s="146"/>
      <c r="SVV5" s="146"/>
      <c r="SVW5" s="146"/>
      <c r="SVX5" s="146"/>
      <c r="SVY5" s="146"/>
      <c r="SVZ5" s="146"/>
      <c r="SWA5" s="146"/>
      <c r="SWB5" s="146"/>
      <c r="SWC5" s="146"/>
      <c r="SWD5" s="146"/>
      <c r="SWE5" s="146"/>
      <c r="SWF5" s="146"/>
      <c r="SWG5" s="146"/>
      <c r="SWH5" s="146"/>
      <c r="SWI5" s="146"/>
      <c r="SWJ5" s="146"/>
      <c r="SWK5" s="146"/>
      <c r="SWL5" s="146"/>
      <c r="SWM5" s="146"/>
      <c r="SWN5" s="146"/>
      <c r="SWO5" s="146"/>
      <c r="SWP5" s="146"/>
      <c r="SWQ5" s="146"/>
      <c r="SWR5" s="146"/>
      <c r="SWS5" s="146"/>
      <c r="SWT5" s="146"/>
      <c r="SWU5" s="146"/>
      <c r="SWV5" s="146"/>
      <c r="SWW5" s="146"/>
      <c r="SWX5" s="146"/>
      <c r="SWY5" s="146"/>
      <c r="SWZ5" s="146"/>
      <c r="SXA5" s="146"/>
      <c r="SXB5" s="146"/>
      <c r="SXC5" s="146"/>
      <c r="SXD5" s="146"/>
      <c r="SXE5" s="146"/>
      <c r="SXF5" s="146"/>
      <c r="SXG5" s="146"/>
      <c r="SXH5" s="146"/>
      <c r="SXI5" s="146"/>
      <c r="SXJ5" s="146"/>
      <c r="SXK5" s="146"/>
      <c r="SXL5" s="146"/>
      <c r="SXM5" s="146"/>
      <c r="SXN5" s="146"/>
      <c r="SXO5" s="146"/>
      <c r="SXP5" s="146"/>
      <c r="SXQ5" s="146"/>
      <c r="SXR5" s="146"/>
      <c r="SXS5" s="146"/>
      <c r="SXT5" s="146"/>
      <c r="SXU5" s="146"/>
      <c r="SXV5" s="146"/>
      <c r="SXW5" s="146"/>
      <c r="SXX5" s="146"/>
      <c r="SXY5" s="146"/>
      <c r="SXZ5" s="146"/>
      <c r="SYA5" s="146"/>
      <c r="SYB5" s="146"/>
      <c r="SYC5" s="146"/>
      <c r="SYD5" s="146"/>
      <c r="SYE5" s="146"/>
      <c r="SYF5" s="146"/>
      <c r="SYG5" s="146"/>
      <c r="SYH5" s="146"/>
      <c r="SYI5" s="146"/>
      <c r="SYJ5" s="146"/>
      <c r="SYK5" s="146"/>
      <c r="SYL5" s="146"/>
      <c r="SYM5" s="146"/>
      <c r="SYN5" s="146"/>
      <c r="SYO5" s="146"/>
      <c r="SYP5" s="146"/>
      <c r="SYQ5" s="146"/>
      <c r="SYR5" s="146"/>
      <c r="SYS5" s="146"/>
      <c r="SYT5" s="146"/>
      <c r="SYU5" s="146"/>
      <c r="SYV5" s="146"/>
      <c r="SYW5" s="146"/>
      <c r="SYX5" s="146"/>
      <c r="SYY5" s="146"/>
      <c r="SYZ5" s="146"/>
      <c r="SZA5" s="146"/>
      <c r="SZB5" s="146"/>
      <c r="SZC5" s="146"/>
      <c r="SZD5" s="146"/>
      <c r="SZE5" s="146"/>
      <c r="SZF5" s="146"/>
      <c r="SZG5" s="146"/>
      <c r="SZH5" s="146"/>
      <c r="SZI5" s="146"/>
      <c r="SZJ5" s="146"/>
      <c r="SZK5" s="146"/>
      <c r="SZL5" s="146"/>
      <c r="SZM5" s="146"/>
      <c r="SZN5" s="146"/>
      <c r="SZO5" s="146"/>
      <c r="SZP5" s="146"/>
      <c r="SZQ5" s="146"/>
      <c r="SZR5" s="146"/>
      <c r="SZS5" s="146"/>
      <c r="SZT5" s="146"/>
      <c r="SZU5" s="146"/>
      <c r="SZV5" s="146"/>
      <c r="SZW5" s="146"/>
      <c r="SZX5" s="146"/>
      <c r="SZY5" s="146"/>
      <c r="SZZ5" s="146"/>
      <c r="TAA5" s="146"/>
      <c r="TAB5" s="146"/>
      <c r="TAC5" s="146"/>
      <c r="TAD5" s="146"/>
      <c r="TAE5" s="146"/>
      <c r="TAF5" s="146"/>
      <c r="TAG5" s="146"/>
      <c r="TAH5" s="146"/>
      <c r="TAI5" s="146"/>
      <c r="TAJ5" s="146"/>
      <c r="TAK5" s="146"/>
      <c r="TAL5" s="146"/>
      <c r="TAM5" s="146"/>
      <c r="TAN5" s="146"/>
      <c r="TAO5" s="146"/>
      <c r="TAP5" s="146"/>
      <c r="TAQ5" s="146"/>
      <c r="TAR5" s="146"/>
      <c r="TAS5" s="146"/>
      <c r="TAT5" s="146"/>
      <c r="TAU5" s="146"/>
      <c r="TAV5" s="146"/>
      <c r="TAW5" s="146"/>
      <c r="TAX5" s="146"/>
      <c r="TAY5" s="146"/>
      <c r="TAZ5" s="146"/>
      <c r="TBA5" s="146"/>
      <c r="TBB5" s="146"/>
      <c r="TBC5" s="146"/>
      <c r="TBD5" s="146"/>
      <c r="TBE5" s="146"/>
      <c r="TBF5" s="146"/>
      <c r="TBG5" s="146"/>
      <c r="TBH5" s="146"/>
      <c r="TBI5" s="146"/>
      <c r="TBJ5" s="146"/>
      <c r="TBK5" s="146"/>
      <c r="TBL5" s="146"/>
      <c r="TBM5" s="146"/>
      <c r="TBN5" s="146"/>
      <c r="TBO5" s="146"/>
      <c r="TBP5" s="146"/>
      <c r="TBQ5" s="146"/>
      <c r="TBR5" s="146"/>
      <c r="TBS5" s="146"/>
      <c r="TBT5" s="146"/>
      <c r="TBU5" s="146"/>
      <c r="TBV5" s="146"/>
      <c r="TBW5" s="146"/>
      <c r="TBX5" s="146"/>
      <c r="TBY5" s="146"/>
      <c r="TBZ5" s="146"/>
      <c r="TCA5" s="146"/>
      <c r="TCB5" s="146"/>
      <c r="TCC5" s="146"/>
      <c r="TCD5" s="146"/>
      <c r="TCE5" s="146"/>
      <c r="TCF5" s="146"/>
      <c r="TCG5" s="146"/>
      <c r="TCH5" s="146"/>
      <c r="TCI5" s="146"/>
      <c r="TCJ5" s="146"/>
      <c r="TCK5" s="146"/>
      <c r="TCL5" s="146"/>
      <c r="TCM5" s="146"/>
      <c r="TCN5" s="146"/>
      <c r="TCO5" s="146"/>
      <c r="TCP5" s="146"/>
      <c r="TCQ5" s="146"/>
      <c r="TCR5" s="146"/>
      <c r="TCS5" s="146"/>
      <c r="TCT5" s="146"/>
      <c r="TCU5" s="146"/>
      <c r="TCV5" s="146"/>
      <c r="TCW5" s="146"/>
      <c r="TCX5" s="146"/>
      <c r="TCY5" s="146"/>
      <c r="TCZ5" s="146"/>
      <c r="TDA5" s="146"/>
      <c r="TDB5" s="146"/>
      <c r="TDC5" s="146"/>
      <c r="TDD5" s="146"/>
      <c r="TDE5" s="146"/>
      <c r="TDF5" s="146"/>
      <c r="TDG5" s="146"/>
      <c r="TDH5" s="146"/>
      <c r="TDI5" s="146"/>
      <c r="TDJ5" s="146"/>
      <c r="TDK5" s="146"/>
      <c r="TDL5" s="146"/>
      <c r="TDM5" s="146"/>
      <c r="TDN5" s="146"/>
      <c r="TDO5" s="146"/>
      <c r="TDP5" s="146"/>
      <c r="TDQ5" s="146"/>
      <c r="TDR5" s="146"/>
      <c r="TDS5" s="146"/>
      <c r="TDT5" s="146"/>
      <c r="TDU5" s="146"/>
      <c r="TDV5" s="146"/>
      <c r="TDW5" s="146"/>
      <c r="TDX5" s="146"/>
      <c r="TDY5" s="146"/>
      <c r="TDZ5" s="146"/>
      <c r="TEA5" s="146"/>
      <c r="TEB5" s="146"/>
      <c r="TEC5" s="146"/>
      <c r="TED5" s="146"/>
      <c r="TEE5" s="146"/>
      <c r="TEF5" s="146"/>
      <c r="TEG5" s="146"/>
      <c r="TEH5" s="146"/>
      <c r="TEI5" s="146"/>
      <c r="TEJ5" s="146"/>
      <c r="TEK5" s="146"/>
      <c r="TEL5" s="146"/>
      <c r="TEM5" s="146"/>
      <c r="TEN5" s="146"/>
      <c r="TEO5" s="146"/>
      <c r="TEP5" s="146"/>
      <c r="TEQ5" s="146"/>
      <c r="TER5" s="146"/>
      <c r="TES5" s="146"/>
      <c r="TET5" s="146"/>
      <c r="TEU5" s="146"/>
      <c r="TEV5" s="146"/>
      <c r="TEW5" s="146"/>
      <c r="TEX5" s="146"/>
      <c r="TEY5" s="146"/>
      <c r="TEZ5" s="146"/>
      <c r="TFA5" s="146"/>
      <c r="TFB5" s="146"/>
      <c r="TFC5" s="146"/>
      <c r="TFD5" s="146"/>
      <c r="TFE5" s="146"/>
      <c r="TFF5" s="146"/>
      <c r="TFG5" s="146"/>
      <c r="TFH5" s="146"/>
      <c r="TFI5" s="146"/>
      <c r="TFJ5" s="146"/>
      <c r="TFK5" s="146"/>
      <c r="TFL5" s="146"/>
      <c r="TFM5" s="146"/>
      <c r="TFN5" s="146"/>
      <c r="TFO5" s="146"/>
      <c r="TFP5" s="146"/>
      <c r="TFQ5" s="146"/>
      <c r="TFR5" s="146"/>
      <c r="TFS5" s="146"/>
      <c r="TFT5" s="146"/>
      <c r="TFU5" s="146"/>
      <c r="TFV5" s="146"/>
      <c r="TFW5" s="146"/>
      <c r="TFX5" s="146"/>
      <c r="TFY5" s="146"/>
      <c r="TFZ5" s="146"/>
      <c r="TGA5" s="146"/>
      <c r="TGB5" s="146"/>
      <c r="TGC5" s="146"/>
      <c r="TGD5" s="146"/>
      <c r="TGE5" s="146"/>
      <c r="TGF5" s="146"/>
      <c r="TGG5" s="146"/>
      <c r="TGH5" s="146"/>
      <c r="TGI5" s="146"/>
      <c r="TGJ5" s="146"/>
      <c r="TGK5" s="146"/>
      <c r="TGL5" s="146"/>
      <c r="TGM5" s="146"/>
      <c r="TGN5" s="146"/>
      <c r="TGO5" s="146"/>
      <c r="TGP5" s="146"/>
      <c r="TGQ5" s="146"/>
      <c r="TGR5" s="146"/>
      <c r="TGS5" s="146"/>
      <c r="TGT5" s="146"/>
      <c r="TGU5" s="146"/>
      <c r="TGV5" s="146"/>
      <c r="TGW5" s="146"/>
      <c r="TGX5" s="146"/>
      <c r="TGY5" s="146"/>
      <c r="TGZ5" s="146"/>
      <c r="THA5" s="146"/>
      <c r="THB5" s="146"/>
      <c r="THC5" s="146"/>
      <c r="THD5" s="146"/>
      <c r="THE5" s="146"/>
      <c r="THF5" s="146"/>
      <c r="THG5" s="146"/>
      <c r="THH5" s="146"/>
      <c r="THI5" s="146"/>
      <c r="THJ5" s="146"/>
      <c r="THK5" s="146"/>
      <c r="THL5" s="146"/>
      <c r="THM5" s="146"/>
      <c r="THN5" s="146"/>
      <c r="THO5" s="146"/>
      <c r="THP5" s="146"/>
      <c r="THQ5" s="146"/>
      <c r="THR5" s="146"/>
      <c r="THS5" s="146"/>
      <c r="THT5" s="146"/>
      <c r="THU5" s="146"/>
      <c r="THV5" s="146"/>
      <c r="THW5" s="146"/>
      <c r="THX5" s="146"/>
      <c r="THY5" s="146"/>
      <c r="THZ5" s="146"/>
      <c r="TIA5" s="146"/>
      <c r="TIB5" s="146"/>
      <c r="TIC5" s="146"/>
      <c r="TID5" s="146"/>
      <c r="TIE5" s="146"/>
      <c r="TIF5" s="146"/>
      <c r="TIG5" s="146"/>
      <c r="TIH5" s="146"/>
      <c r="TII5" s="146"/>
      <c r="TIJ5" s="146"/>
      <c r="TIK5" s="146"/>
      <c r="TIL5" s="146"/>
      <c r="TIM5" s="146"/>
      <c r="TIN5" s="146"/>
      <c r="TIO5" s="146"/>
      <c r="TIP5" s="146"/>
      <c r="TIQ5" s="146"/>
      <c r="TIR5" s="146"/>
      <c r="TIS5" s="146"/>
      <c r="TIT5" s="146"/>
      <c r="TIU5" s="146"/>
      <c r="TIV5" s="146"/>
      <c r="TIW5" s="146"/>
      <c r="TIX5" s="146"/>
      <c r="TIY5" s="146"/>
      <c r="TIZ5" s="146"/>
      <c r="TJA5" s="146"/>
      <c r="TJB5" s="146"/>
      <c r="TJC5" s="146"/>
      <c r="TJD5" s="146"/>
      <c r="TJE5" s="146"/>
      <c r="TJF5" s="146"/>
      <c r="TJG5" s="146"/>
      <c r="TJH5" s="146"/>
      <c r="TJI5" s="146"/>
      <c r="TJJ5" s="146"/>
      <c r="TJK5" s="146"/>
      <c r="TJL5" s="146"/>
      <c r="TJM5" s="146"/>
      <c r="TJN5" s="146"/>
      <c r="TJO5" s="146"/>
      <c r="TJP5" s="146"/>
      <c r="TJQ5" s="146"/>
      <c r="TJR5" s="146"/>
      <c r="TJS5" s="146"/>
      <c r="TJT5" s="146"/>
      <c r="TJU5" s="146"/>
      <c r="TJV5" s="146"/>
      <c r="TJW5" s="146"/>
      <c r="TJX5" s="146"/>
      <c r="TJY5" s="146"/>
      <c r="TJZ5" s="146"/>
      <c r="TKA5" s="146"/>
      <c r="TKB5" s="146"/>
      <c r="TKC5" s="146"/>
      <c r="TKD5" s="146"/>
      <c r="TKE5" s="146"/>
      <c r="TKF5" s="146"/>
      <c r="TKG5" s="146"/>
      <c r="TKH5" s="146"/>
      <c r="TKI5" s="146"/>
      <c r="TKJ5" s="146"/>
      <c r="TKK5" s="146"/>
      <c r="TKL5" s="146"/>
      <c r="TKM5" s="146"/>
      <c r="TKN5" s="146"/>
      <c r="TKO5" s="146"/>
      <c r="TKP5" s="146"/>
      <c r="TKQ5" s="146"/>
      <c r="TKR5" s="146"/>
      <c r="TKS5" s="146"/>
      <c r="TKT5" s="146"/>
      <c r="TKU5" s="146"/>
      <c r="TKV5" s="146"/>
      <c r="TKW5" s="146"/>
      <c r="TKX5" s="146"/>
      <c r="TKY5" s="146"/>
      <c r="TKZ5" s="146"/>
      <c r="TLA5" s="146"/>
      <c r="TLB5" s="146"/>
      <c r="TLC5" s="146"/>
      <c r="TLD5" s="146"/>
      <c r="TLE5" s="146"/>
      <c r="TLF5" s="146"/>
      <c r="TLG5" s="146"/>
      <c r="TLH5" s="146"/>
      <c r="TLI5" s="146"/>
      <c r="TLJ5" s="146"/>
      <c r="TLK5" s="146"/>
      <c r="TLL5" s="146"/>
      <c r="TLM5" s="146"/>
      <c r="TLN5" s="146"/>
      <c r="TLO5" s="146"/>
      <c r="TLP5" s="146"/>
      <c r="TLQ5" s="146"/>
      <c r="TLR5" s="146"/>
      <c r="TLS5" s="146"/>
      <c r="TLT5" s="146"/>
      <c r="TLU5" s="146"/>
      <c r="TLV5" s="146"/>
      <c r="TLW5" s="146"/>
      <c r="TLX5" s="146"/>
      <c r="TLY5" s="146"/>
      <c r="TLZ5" s="146"/>
      <c r="TMA5" s="146"/>
      <c r="TMB5" s="146"/>
      <c r="TMC5" s="146"/>
      <c r="TMD5" s="146"/>
      <c r="TME5" s="146"/>
      <c r="TMF5" s="146"/>
      <c r="TMG5" s="146"/>
      <c r="TMH5" s="146"/>
      <c r="TMI5" s="146"/>
      <c r="TMJ5" s="146"/>
      <c r="TMK5" s="146"/>
      <c r="TML5" s="146"/>
      <c r="TMM5" s="146"/>
      <c r="TMN5" s="146"/>
      <c r="TMO5" s="146"/>
      <c r="TMP5" s="146"/>
      <c r="TMQ5" s="146"/>
      <c r="TMR5" s="146"/>
      <c r="TMS5" s="146"/>
      <c r="TMT5" s="146"/>
      <c r="TMU5" s="146"/>
      <c r="TMV5" s="146"/>
      <c r="TMW5" s="146"/>
      <c r="TMX5" s="146"/>
      <c r="TMY5" s="146"/>
      <c r="TMZ5" s="146"/>
      <c r="TNA5" s="146"/>
      <c r="TNB5" s="146"/>
      <c r="TNC5" s="146"/>
      <c r="TND5" s="146"/>
      <c r="TNE5" s="146"/>
      <c r="TNF5" s="146"/>
      <c r="TNG5" s="146"/>
      <c r="TNH5" s="146"/>
      <c r="TNI5" s="146"/>
      <c r="TNJ5" s="146"/>
      <c r="TNK5" s="146"/>
      <c r="TNL5" s="146"/>
      <c r="TNM5" s="146"/>
      <c r="TNN5" s="146"/>
      <c r="TNO5" s="146"/>
      <c r="TNP5" s="146"/>
      <c r="TNQ5" s="146"/>
      <c r="TNR5" s="146"/>
      <c r="TNS5" s="146"/>
      <c r="TNT5" s="146"/>
      <c r="TNU5" s="146"/>
      <c r="TNV5" s="146"/>
      <c r="TNW5" s="146"/>
      <c r="TNX5" s="146"/>
      <c r="TNY5" s="146"/>
      <c r="TNZ5" s="146"/>
      <c r="TOA5" s="146"/>
      <c r="TOB5" s="146"/>
      <c r="TOC5" s="146"/>
      <c r="TOD5" s="146"/>
      <c r="TOE5" s="146"/>
      <c r="TOF5" s="146"/>
      <c r="TOG5" s="146"/>
      <c r="TOH5" s="146"/>
      <c r="TOI5" s="146"/>
      <c r="TOJ5" s="146"/>
      <c r="TOK5" s="146"/>
      <c r="TOL5" s="146"/>
      <c r="TOM5" s="146"/>
      <c r="TON5" s="146"/>
      <c r="TOO5" s="146"/>
      <c r="TOP5" s="146"/>
      <c r="TOQ5" s="146"/>
      <c r="TOR5" s="146"/>
      <c r="TOS5" s="146"/>
      <c r="TOT5" s="146"/>
      <c r="TOU5" s="146"/>
      <c r="TOV5" s="146"/>
      <c r="TOW5" s="146"/>
      <c r="TOX5" s="146"/>
      <c r="TOY5" s="146"/>
      <c r="TOZ5" s="146"/>
      <c r="TPA5" s="146"/>
      <c r="TPB5" s="146"/>
      <c r="TPC5" s="146"/>
      <c r="TPD5" s="146"/>
      <c r="TPE5" s="146"/>
      <c r="TPF5" s="146"/>
      <c r="TPG5" s="146"/>
      <c r="TPH5" s="146"/>
      <c r="TPI5" s="146"/>
      <c r="TPJ5" s="146"/>
      <c r="TPK5" s="146"/>
      <c r="TPL5" s="146"/>
      <c r="TPM5" s="146"/>
      <c r="TPN5" s="146"/>
      <c r="TPO5" s="146"/>
      <c r="TPP5" s="146"/>
      <c r="TPQ5" s="146"/>
      <c r="TPR5" s="146"/>
      <c r="TPS5" s="146"/>
      <c r="TPT5" s="146"/>
      <c r="TPU5" s="146"/>
      <c r="TPV5" s="146"/>
      <c r="TPW5" s="146"/>
      <c r="TPX5" s="146"/>
      <c r="TPY5" s="146"/>
      <c r="TPZ5" s="146"/>
      <c r="TQA5" s="146"/>
      <c r="TQB5" s="146"/>
      <c r="TQC5" s="146"/>
      <c r="TQD5" s="146"/>
      <c r="TQE5" s="146"/>
      <c r="TQF5" s="146"/>
      <c r="TQG5" s="146"/>
      <c r="TQH5" s="146"/>
      <c r="TQI5" s="146"/>
      <c r="TQJ5" s="146"/>
      <c r="TQK5" s="146"/>
      <c r="TQL5" s="146"/>
      <c r="TQM5" s="146"/>
      <c r="TQN5" s="146"/>
      <c r="TQO5" s="146"/>
      <c r="TQP5" s="146"/>
      <c r="TQQ5" s="146"/>
      <c r="TQR5" s="146"/>
      <c r="TQS5" s="146"/>
      <c r="TQT5" s="146"/>
      <c r="TQU5" s="146"/>
      <c r="TQV5" s="146"/>
      <c r="TQW5" s="146"/>
      <c r="TQX5" s="146"/>
      <c r="TQY5" s="146"/>
      <c r="TQZ5" s="146"/>
      <c r="TRA5" s="146"/>
      <c r="TRB5" s="146"/>
      <c r="TRC5" s="146"/>
      <c r="TRD5" s="146"/>
      <c r="TRE5" s="146"/>
      <c r="TRF5" s="146"/>
      <c r="TRG5" s="146"/>
      <c r="TRH5" s="146"/>
      <c r="TRI5" s="146"/>
      <c r="TRJ5" s="146"/>
      <c r="TRK5" s="146"/>
      <c r="TRL5" s="146"/>
      <c r="TRM5" s="146"/>
      <c r="TRN5" s="146"/>
      <c r="TRO5" s="146"/>
      <c r="TRP5" s="146"/>
      <c r="TRQ5" s="146"/>
      <c r="TRR5" s="146"/>
      <c r="TRS5" s="146"/>
      <c r="TRT5" s="146"/>
      <c r="TRU5" s="146"/>
      <c r="TRV5" s="146"/>
      <c r="TRW5" s="146"/>
      <c r="TRX5" s="146"/>
      <c r="TRY5" s="146"/>
      <c r="TRZ5" s="146"/>
      <c r="TSA5" s="146"/>
      <c r="TSB5" s="146"/>
      <c r="TSC5" s="146"/>
      <c r="TSD5" s="146"/>
      <c r="TSE5" s="146"/>
      <c r="TSF5" s="146"/>
      <c r="TSG5" s="146"/>
      <c r="TSH5" s="146"/>
      <c r="TSI5" s="146"/>
      <c r="TSJ5" s="146"/>
      <c r="TSK5" s="146"/>
      <c r="TSL5" s="146"/>
      <c r="TSM5" s="146"/>
      <c r="TSN5" s="146"/>
      <c r="TSO5" s="146"/>
      <c r="TSP5" s="146"/>
      <c r="TSQ5" s="146"/>
      <c r="TSR5" s="146"/>
      <c r="TSS5" s="146"/>
      <c r="TST5" s="146"/>
      <c r="TSU5" s="146"/>
      <c r="TSV5" s="146"/>
      <c r="TSW5" s="146"/>
      <c r="TSX5" s="146"/>
      <c r="TSY5" s="146"/>
      <c r="TSZ5" s="146"/>
      <c r="TTA5" s="146"/>
      <c r="TTB5" s="146"/>
      <c r="TTC5" s="146"/>
      <c r="TTD5" s="146"/>
      <c r="TTE5" s="146"/>
      <c r="TTF5" s="146"/>
      <c r="TTG5" s="146"/>
      <c r="TTH5" s="146"/>
      <c r="TTI5" s="146"/>
      <c r="TTJ5" s="146"/>
      <c r="TTK5" s="146"/>
      <c r="TTL5" s="146"/>
      <c r="TTM5" s="146"/>
      <c r="TTN5" s="146"/>
      <c r="TTO5" s="146"/>
      <c r="TTP5" s="146"/>
      <c r="TTQ5" s="146"/>
      <c r="TTR5" s="146"/>
      <c r="TTS5" s="146"/>
      <c r="TTT5" s="146"/>
      <c r="TTU5" s="146"/>
      <c r="TTV5" s="146"/>
      <c r="TTW5" s="146"/>
      <c r="TTX5" s="146"/>
      <c r="TTY5" s="146"/>
      <c r="TTZ5" s="146"/>
      <c r="TUA5" s="146"/>
      <c r="TUB5" s="146"/>
      <c r="TUC5" s="146"/>
      <c r="TUD5" s="146"/>
      <c r="TUE5" s="146"/>
      <c r="TUF5" s="146"/>
      <c r="TUG5" s="146"/>
      <c r="TUH5" s="146"/>
      <c r="TUI5" s="146"/>
      <c r="TUJ5" s="146"/>
      <c r="TUK5" s="146"/>
      <c r="TUL5" s="146"/>
      <c r="TUM5" s="146"/>
      <c r="TUN5" s="146"/>
      <c r="TUO5" s="146"/>
      <c r="TUP5" s="146"/>
      <c r="TUQ5" s="146"/>
      <c r="TUR5" s="146"/>
      <c r="TUS5" s="146"/>
      <c r="TUT5" s="146"/>
      <c r="TUU5" s="146"/>
      <c r="TUV5" s="146"/>
      <c r="TUW5" s="146"/>
      <c r="TUX5" s="146"/>
      <c r="TUY5" s="146"/>
      <c r="TUZ5" s="146"/>
      <c r="TVA5" s="146"/>
      <c r="TVB5" s="146"/>
      <c r="TVC5" s="146"/>
      <c r="TVD5" s="146"/>
      <c r="TVE5" s="146"/>
      <c r="TVF5" s="146"/>
      <c r="TVG5" s="146"/>
      <c r="TVH5" s="146"/>
      <c r="TVI5" s="146"/>
      <c r="TVJ5" s="146"/>
      <c r="TVK5" s="146"/>
      <c r="TVL5" s="146"/>
      <c r="TVM5" s="146"/>
      <c r="TVN5" s="146"/>
      <c r="TVO5" s="146"/>
      <c r="TVP5" s="146"/>
      <c r="TVQ5" s="146"/>
      <c r="TVR5" s="146"/>
      <c r="TVS5" s="146"/>
      <c r="TVT5" s="146"/>
      <c r="TVU5" s="146"/>
      <c r="TVV5" s="146"/>
      <c r="TVW5" s="146"/>
      <c r="TVX5" s="146"/>
      <c r="TVY5" s="146"/>
      <c r="TVZ5" s="146"/>
      <c r="TWA5" s="146"/>
      <c r="TWB5" s="146"/>
      <c r="TWC5" s="146"/>
      <c r="TWD5" s="146"/>
      <c r="TWE5" s="146"/>
      <c r="TWF5" s="146"/>
      <c r="TWG5" s="146"/>
      <c r="TWH5" s="146"/>
      <c r="TWI5" s="146"/>
      <c r="TWJ5" s="146"/>
      <c r="TWK5" s="146"/>
      <c r="TWL5" s="146"/>
      <c r="TWM5" s="146"/>
      <c r="TWN5" s="146"/>
      <c r="TWO5" s="146"/>
      <c r="TWP5" s="146"/>
      <c r="TWQ5" s="146"/>
      <c r="TWR5" s="146"/>
      <c r="TWS5" s="146"/>
      <c r="TWT5" s="146"/>
      <c r="TWU5" s="146"/>
      <c r="TWV5" s="146"/>
      <c r="TWW5" s="146"/>
      <c r="TWX5" s="146"/>
      <c r="TWY5" s="146"/>
      <c r="TWZ5" s="146"/>
      <c r="TXA5" s="146"/>
      <c r="TXB5" s="146"/>
      <c r="TXC5" s="146"/>
      <c r="TXD5" s="146"/>
      <c r="TXE5" s="146"/>
      <c r="TXF5" s="146"/>
      <c r="TXG5" s="146"/>
      <c r="TXH5" s="146"/>
      <c r="TXI5" s="146"/>
      <c r="TXJ5" s="146"/>
      <c r="TXK5" s="146"/>
      <c r="TXL5" s="146"/>
      <c r="TXM5" s="146"/>
      <c r="TXN5" s="146"/>
      <c r="TXO5" s="146"/>
      <c r="TXP5" s="146"/>
      <c r="TXQ5" s="146"/>
      <c r="TXR5" s="146"/>
      <c r="TXS5" s="146"/>
      <c r="TXT5" s="146"/>
      <c r="TXU5" s="146"/>
      <c r="TXV5" s="146"/>
      <c r="TXW5" s="146"/>
      <c r="TXX5" s="146"/>
      <c r="TXY5" s="146"/>
      <c r="TXZ5" s="146"/>
      <c r="TYA5" s="146"/>
      <c r="TYB5" s="146"/>
      <c r="TYC5" s="146"/>
      <c r="TYD5" s="146"/>
      <c r="TYE5" s="146"/>
      <c r="TYF5" s="146"/>
      <c r="TYG5" s="146"/>
      <c r="TYH5" s="146"/>
      <c r="TYI5" s="146"/>
      <c r="TYJ5" s="146"/>
      <c r="TYK5" s="146"/>
      <c r="TYL5" s="146"/>
      <c r="TYM5" s="146"/>
      <c r="TYN5" s="146"/>
      <c r="TYO5" s="146"/>
      <c r="TYP5" s="146"/>
      <c r="TYQ5" s="146"/>
      <c r="TYR5" s="146"/>
      <c r="TYS5" s="146"/>
      <c r="TYT5" s="146"/>
      <c r="TYU5" s="146"/>
      <c r="TYV5" s="146"/>
      <c r="TYW5" s="146"/>
      <c r="TYX5" s="146"/>
      <c r="TYY5" s="146"/>
      <c r="TYZ5" s="146"/>
      <c r="TZA5" s="146"/>
      <c r="TZB5" s="146"/>
      <c r="TZC5" s="146"/>
      <c r="TZD5" s="146"/>
      <c r="TZE5" s="146"/>
      <c r="TZF5" s="146"/>
      <c r="TZG5" s="146"/>
      <c r="TZH5" s="146"/>
      <c r="TZI5" s="146"/>
      <c r="TZJ5" s="146"/>
      <c r="TZK5" s="146"/>
      <c r="TZL5" s="146"/>
      <c r="TZM5" s="146"/>
      <c r="TZN5" s="146"/>
      <c r="TZO5" s="146"/>
      <c r="TZP5" s="146"/>
      <c r="TZQ5" s="146"/>
      <c r="TZR5" s="146"/>
      <c r="TZS5" s="146"/>
      <c r="TZT5" s="146"/>
      <c r="TZU5" s="146"/>
      <c r="TZV5" s="146"/>
      <c r="TZW5" s="146"/>
      <c r="TZX5" s="146"/>
      <c r="TZY5" s="146"/>
      <c r="TZZ5" s="146"/>
      <c r="UAA5" s="146"/>
      <c r="UAB5" s="146"/>
      <c r="UAC5" s="146"/>
      <c r="UAD5" s="146"/>
      <c r="UAE5" s="146"/>
      <c r="UAF5" s="146"/>
      <c r="UAG5" s="146"/>
      <c r="UAH5" s="146"/>
      <c r="UAI5" s="146"/>
      <c r="UAJ5" s="146"/>
      <c r="UAK5" s="146"/>
      <c r="UAL5" s="146"/>
      <c r="UAM5" s="146"/>
      <c r="UAN5" s="146"/>
      <c r="UAO5" s="146"/>
      <c r="UAP5" s="146"/>
      <c r="UAQ5" s="146"/>
      <c r="UAR5" s="146"/>
      <c r="UAS5" s="146"/>
      <c r="UAT5" s="146"/>
      <c r="UAU5" s="146"/>
      <c r="UAV5" s="146"/>
      <c r="UAW5" s="146"/>
      <c r="UAX5" s="146"/>
      <c r="UAY5" s="146"/>
      <c r="UAZ5" s="146"/>
      <c r="UBA5" s="146"/>
      <c r="UBB5" s="146"/>
      <c r="UBC5" s="146"/>
      <c r="UBD5" s="146"/>
      <c r="UBE5" s="146"/>
      <c r="UBF5" s="146"/>
      <c r="UBG5" s="146"/>
      <c r="UBH5" s="146"/>
      <c r="UBI5" s="146"/>
      <c r="UBJ5" s="146"/>
      <c r="UBK5" s="146"/>
      <c r="UBL5" s="146"/>
      <c r="UBM5" s="146"/>
      <c r="UBN5" s="146"/>
      <c r="UBO5" s="146"/>
      <c r="UBP5" s="146"/>
      <c r="UBQ5" s="146"/>
      <c r="UBR5" s="146"/>
      <c r="UBS5" s="146"/>
      <c r="UBT5" s="146"/>
      <c r="UBU5" s="146"/>
      <c r="UBV5" s="146"/>
      <c r="UBW5" s="146"/>
      <c r="UBX5" s="146"/>
      <c r="UBY5" s="146"/>
      <c r="UBZ5" s="146"/>
      <c r="UCA5" s="146"/>
      <c r="UCB5" s="146"/>
      <c r="UCC5" s="146"/>
      <c r="UCD5" s="146"/>
      <c r="UCE5" s="146"/>
      <c r="UCF5" s="146"/>
      <c r="UCG5" s="146"/>
      <c r="UCH5" s="146"/>
      <c r="UCI5" s="146"/>
      <c r="UCJ5" s="146"/>
      <c r="UCK5" s="146"/>
      <c r="UCL5" s="146"/>
      <c r="UCM5" s="146"/>
      <c r="UCN5" s="146"/>
      <c r="UCO5" s="146"/>
      <c r="UCP5" s="146"/>
      <c r="UCQ5" s="146"/>
      <c r="UCR5" s="146"/>
      <c r="UCS5" s="146"/>
      <c r="UCT5" s="146"/>
      <c r="UCU5" s="146"/>
      <c r="UCV5" s="146"/>
      <c r="UCW5" s="146"/>
      <c r="UCX5" s="146"/>
      <c r="UCY5" s="146"/>
      <c r="UCZ5" s="146"/>
      <c r="UDA5" s="146"/>
      <c r="UDB5" s="146"/>
      <c r="UDC5" s="146"/>
      <c r="UDD5" s="146"/>
      <c r="UDE5" s="146"/>
      <c r="UDF5" s="146"/>
      <c r="UDG5" s="146"/>
      <c r="UDH5" s="146"/>
      <c r="UDI5" s="146"/>
      <c r="UDJ5" s="146"/>
      <c r="UDK5" s="146"/>
      <c r="UDL5" s="146"/>
      <c r="UDM5" s="146"/>
      <c r="UDN5" s="146"/>
      <c r="UDO5" s="146"/>
      <c r="UDP5" s="146"/>
      <c r="UDQ5" s="146"/>
      <c r="UDR5" s="146"/>
      <c r="UDS5" s="146"/>
      <c r="UDT5" s="146"/>
      <c r="UDU5" s="146"/>
      <c r="UDV5" s="146"/>
      <c r="UDW5" s="146"/>
      <c r="UDX5" s="146"/>
      <c r="UDY5" s="146"/>
      <c r="UDZ5" s="146"/>
      <c r="UEA5" s="146"/>
      <c r="UEB5" s="146"/>
      <c r="UEC5" s="146"/>
      <c r="UED5" s="146"/>
      <c r="UEE5" s="146"/>
      <c r="UEF5" s="146"/>
      <c r="UEG5" s="146"/>
      <c r="UEH5" s="146"/>
      <c r="UEI5" s="146"/>
      <c r="UEJ5" s="146"/>
      <c r="UEK5" s="146"/>
      <c r="UEL5" s="146"/>
      <c r="UEM5" s="146"/>
      <c r="UEN5" s="146"/>
      <c r="UEO5" s="146"/>
      <c r="UEP5" s="146"/>
      <c r="UEQ5" s="146"/>
      <c r="UER5" s="146"/>
      <c r="UES5" s="146"/>
      <c r="UET5" s="146"/>
      <c r="UEU5" s="146"/>
      <c r="UEV5" s="146"/>
      <c r="UEW5" s="146"/>
      <c r="UEX5" s="146"/>
      <c r="UEY5" s="146"/>
      <c r="UEZ5" s="146"/>
      <c r="UFA5" s="146"/>
      <c r="UFB5" s="146"/>
      <c r="UFC5" s="146"/>
      <c r="UFD5" s="146"/>
      <c r="UFE5" s="146"/>
      <c r="UFF5" s="146"/>
      <c r="UFG5" s="146"/>
      <c r="UFH5" s="146"/>
      <c r="UFI5" s="146"/>
      <c r="UFJ5" s="146"/>
      <c r="UFK5" s="146"/>
      <c r="UFL5" s="146"/>
      <c r="UFM5" s="146"/>
      <c r="UFN5" s="146"/>
      <c r="UFO5" s="146"/>
      <c r="UFP5" s="146"/>
      <c r="UFQ5" s="146"/>
      <c r="UFR5" s="146"/>
      <c r="UFS5" s="146"/>
      <c r="UFT5" s="146"/>
      <c r="UFU5" s="146"/>
      <c r="UFV5" s="146"/>
      <c r="UFW5" s="146"/>
      <c r="UFX5" s="146"/>
      <c r="UFY5" s="146"/>
      <c r="UFZ5" s="146"/>
      <c r="UGA5" s="146"/>
      <c r="UGB5" s="146"/>
      <c r="UGC5" s="146"/>
      <c r="UGD5" s="146"/>
      <c r="UGE5" s="146"/>
      <c r="UGF5" s="146"/>
      <c r="UGG5" s="146"/>
      <c r="UGH5" s="146"/>
      <c r="UGI5" s="146"/>
      <c r="UGJ5" s="146"/>
      <c r="UGK5" s="146"/>
      <c r="UGL5" s="146"/>
      <c r="UGM5" s="146"/>
      <c r="UGN5" s="146"/>
      <c r="UGO5" s="146"/>
      <c r="UGP5" s="146"/>
      <c r="UGQ5" s="146"/>
      <c r="UGR5" s="146"/>
      <c r="UGS5" s="146"/>
      <c r="UGT5" s="146"/>
      <c r="UGU5" s="146"/>
      <c r="UGV5" s="146"/>
      <c r="UGW5" s="146"/>
      <c r="UGX5" s="146"/>
      <c r="UGY5" s="146"/>
      <c r="UGZ5" s="146"/>
      <c r="UHA5" s="146"/>
      <c r="UHB5" s="146"/>
      <c r="UHC5" s="146"/>
      <c r="UHD5" s="146"/>
      <c r="UHE5" s="146"/>
      <c r="UHF5" s="146"/>
      <c r="UHG5" s="146"/>
      <c r="UHH5" s="146"/>
      <c r="UHI5" s="146"/>
      <c r="UHJ5" s="146"/>
      <c r="UHK5" s="146"/>
      <c r="UHL5" s="146"/>
      <c r="UHM5" s="146"/>
      <c r="UHN5" s="146"/>
      <c r="UHO5" s="146"/>
      <c r="UHP5" s="146"/>
      <c r="UHQ5" s="146"/>
      <c r="UHR5" s="146"/>
      <c r="UHS5" s="146"/>
      <c r="UHT5" s="146"/>
      <c r="UHU5" s="146"/>
      <c r="UHV5" s="146"/>
      <c r="UHW5" s="146"/>
      <c r="UHX5" s="146"/>
      <c r="UHY5" s="146"/>
      <c r="UHZ5" s="146"/>
      <c r="UIA5" s="146"/>
      <c r="UIB5" s="146"/>
      <c r="UIC5" s="146"/>
      <c r="UID5" s="146"/>
      <c r="UIE5" s="146"/>
      <c r="UIF5" s="146"/>
      <c r="UIG5" s="146"/>
      <c r="UIH5" s="146"/>
      <c r="UII5" s="146"/>
      <c r="UIJ5" s="146"/>
      <c r="UIK5" s="146"/>
      <c r="UIL5" s="146"/>
      <c r="UIM5" s="146"/>
      <c r="UIN5" s="146"/>
      <c r="UIO5" s="146"/>
      <c r="UIP5" s="146"/>
      <c r="UIQ5" s="146"/>
      <c r="UIR5" s="146"/>
      <c r="UIS5" s="146"/>
      <c r="UIT5" s="146"/>
      <c r="UIU5" s="146"/>
      <c r="UIV5" s="146"/>
      <c r="UIW5" s="146"/>
      <c r="UIX5" s="146"/>
      <c r="UIY5" s="146"/>
      <c r="UIZ5" s="146"/>
      <c r="UJA5" s="146"/>
      <c r="UJB5" s="146"/>
      <c r="UJC5" s="146"/>
      <c r="UJD5" s="146"/>
      <c r="UJE5" s="146"/>
      <c r="UJF5" s="146"/>
      <c r="UJG5" s="146"/>
      <c r="UJH5" s="146"/>
      <c r="UJI5" s="146"/>
      <c r="UJJ5" s="146"/>
      <c r="UJK5" s="146"/>
      <c r="UJL5" s="146"/>
      <c r="UJM5" s="146"/>
      <c r="UJN5" s="146"/>
      <c r="UJO5" s="146"/>
      <c r="UJP5" s="146"/>
      <c r="UJQ5" s="146"/>
      <c r="UJR5" s="146"/>
      <c r="UJS5" s="146"/>
      <c r="UJT5" s="146"/>
      <c r="UJU5" s="146"/>
      <c r="UJV5" s="146"/>
      <c r="UJW5" s="146"/>
      <c r="UJX5" s="146"/>
      <c r="UJY5" s="146"/>
      <c r="UJZ5" s="146"/>
      <c r="UKA5" s="146"/>
      <c r="UKB5" s="146"/>
      <c r="UKC5" s="146"/>
      <c r="UKD5" s="146"/>
      <c r="UKE5" s="146"/>
      <c r="UKF5" s="146"/>
      <c r="UKG5" s="146"/>
      <c r="UKH5" s="146"/>
      <c r="UKI5" s="146"/>
      <c r="UKJ5" s="146"/>
      <c r="UKK5" s="146"/>
      <c r="UKL5" s="146"/>
      <c r="UKM5" s="146"/>
      <c r="UKN5" s="146"/>
      <c r="UKO5" s="146"/>
      <c r="UKP5" s="146"/>
      <c r="UKQ5" s="146"/>
      <c r="UKR5" s="146"/>
      <c r="UKS5" s="146"/>
      <c r="UKT5" s="146"/>
      <c r="UKU5" s="146"/>
      <c r="UKV5" s="146"/>
      <c r="UKW5" s="146"/>
      <c r="UKX5" s="146"/>
      <c r="UKY5" s="146"/>
      <c r="UKZ5" s="146"/>
      <c r="ULA5" s="146"/>
      <c r="ULB5" s="146"/>
      <c r="ULC5" s="146"/>
      <c r="ULD5" s="146"/>
      <c r="ULE5" s="146"/>
      <c r="ULF5" s="146"/>
      <c r="ULG5" s="146"/>
      <c r="ULH5" s="146"/>
      <c r="ULI5" s="146"/>
      <c r="ULJ5" s="146"/>
      <c r="ULK5" s="146"/>
      <c r="ULL5" s="146"/>
      <c r="ULM5" s="146"/>
      <c r="ULN5" s="146"/>
      <c r="ULO5" s="146"/>
      <c r="ULP5" s="146"/>
      <c r="ULQ5" s="146"/>
      <c r="ULR5" s="146"/>
      <c r="ULS5" s="146"/>
      <c r="ULT5" s="146"/>
      <c r="ULU5" s="146"/>
      <c r="ULV5" s="146"/>
      <c r="ULW5" s="146"/>
      <c r="ULX5" s="146"/>
      <c r="ULY5" s="146"/>
      <c r="ULZ5" s="146"/>
      <c r="UMA5" s="146"/>
      <c r="UMB5" s="146"/>
      <c r="UMC5" s="146"/>
      <c r="UMD5" s="146"/>
      <c r="UME5" s="146"/>
      <c r="UMF5" s="146"/>
      <c r="UMG5" s="146"/>
      <c r="UMH5" s="146"/>
      <c r="UMI5" s="146"/>
      <c r="UMJ5" s="146"/>
      <c r="UMK5" s="146"/>
      <c r="UML5" s="146"/>
      <c r="UMM5" s="146"/>
      <c r="UMN5" s="146"/>
      <c r="UMO5" s="146"/>
      <c r="UMP5" s="146"/>
      <c r="UMQ5" s="146"/>
      <c r="UMR5" s="146"/>
      <c r="UMS5" s="146"/>
      <c r="UMT5" s="146"/>
      <c r="UMU5" s="146"/>
      <c r="UMV5" s="146"/>
      <c r="UMW5" s="146"/>
      <c r="UMX5" s="146"/>
      <c r="UMY5" s="146"/>
      <c r="UMZ5" s="146"/>
      <c r="UNA5" s="146"/>
      <c r="UNB5" s="146"/>
      <c r="UNC5" s="146"/>
      <c r="UND5" s="146"/>
      <c r="UNE5" s="146"/>
      <c r="UNF5" s="146"/>
      <c r="UNG5" s="146"/>
      <c r="UNH5" s="146"/>
      <c r="UNI5" s="146"/>
      <c r="UNJ5" s="146"/>
      <c r="UNK5" s="146"/>
      <c r="UNL5" s="146"/>
      <c r="UNM5" s="146"/>
      <c r="UNN5" s="146"/>
      <c r="UNO5" s="146"/>
      <c r="UNP5" s="146"/>
      <c r="UNQ5" s="146"/>
      <c r="UNR5" s="146"/>
      <c r="UNS5" s="146"/>
      <c r="UNT5" s="146"/>
      <c r="UNU5" s="146"/>
      <c r="UNV5" s="146"/>
      <c r="UNW5" s="146"/>
      <c r="UNX5" s="146"/>
      <c r="UNY5" s="146"/>
      <c r="UNZ5" s="146"/>
      <c r="UOA5" s="146"/>
      <c r="UOB5" s="146"/>
      <c r="UOC5" s="146"/>
      <c r="UOD5" s="146"/>
      <c r="UOE5" s="146"/>
      <c r="UOF5" s="146"/>
      <c r="UOG5" s="146"/>
      <c r="UOH5" s="146"/>
      <c r="UOI5" s="146"/>
      <c r="UOJ5" s="146"/>
      <c r="UOK5" s="146"/>
      <c r="UOL5" s="146"/>
      <c r="UOM5" s="146"/>
      <c r="UON5" s="146"/>
      <c r="UOO5" s="146"/>
      <c r="UOP5" s="146"/>
      <c r="UOQ5" s="146"/>
      <c r="UOR5" s="146"/>
      <c r="UOS5" s="146"/>
      <c r="UOT5" s="146"/>
      <c r="UOU5" s="146"/>
      <c r="UOV5" s="146"/>
      <c r="UOW5" s="146"/>
      <c r="UOX5" s="146"/>
      <c r="UOY5" s="146"/>
      <c r="UOZ5" s="146"/>
      <c r="UPA5" s="146"/>
      <c r="UPB5" s="146"/>
      <c r="UPC5" s="146"/>
      <c r="UPD5" s="146"/>
      <c r="UPE5" s="146"/>
      <c r="UPF5" s="146"/>
      <c r="UPG5" s="146"/>
      <c r="UPH5" s="146"/>
      <c r="UPI5" s="146"/>
      <c r="UPJ5" s="146"/>
      <c r="UPK5" s="146"/>
      <c r="UPL5" s="146"/>
      <c r="UPM5" s="146"/>
      <c r="UPN5" s="146"/>
      <c r="UPO5" s="146"/>
      <c r="UPP5" s="146"/>
      <c r="UPQ5" s="146"/>
      <c r="UPR5" s="146"/>
      <c r="UPS5" s="146"/>
      <c r="UPT5" s="146"/>
      <c r="UPU5" s="146"/>
      <c r="UPV5" s="146"/>
      <c r="UPW5" s="146"/>
      <c r="UPX5" s="146"/>
      <c r="UPY5" s="146"/>
      <c r="UPZ5" s="146"/>
      <c r="UQA5" s="146"/>
      <c r="UQB5" s="146"/>
      <c r="UQC5" s="146"/>
      <c r="UQD5" s="146"/>
      <c r="UQE5" s="146"/>
      <c r="UQF5" s="146"/>
      <c r="UQG5" s="146"/>
      <c r="UQH5" s="146"/>
      <c r="UQI5" s="146"/>
      <c r="UQJ5" s="146"/>
      <c r="UQK5" s="146"/>
      <c r="UQL5" s="146"/>
      <c r="UQM5" s="146"/>
      <c r="UQN5" s="146"/>
      <c r="UQO5" s="146"/>
      <c r="UQP5" s="146"/>
      <c r="UQQ5" s="146"/>
      <c r="UQR5" s="146"/>
      <c r="UQS5" s="146"/>
      <c r="UQT5" s="146"/>
      <c r="UQU5" s="146"/>
      <c r="UQV5" s="146"/>
      <c r="UQW5" s="146"/>
      <c r="UQX5" s="146"/>
      <c r="UQY5" s="146"/>
      <c r="UQZ5" s="146"/>
      <c r="URA5" s="146"/>
      <c r="URB5" s="146"/>
      <c r="URC5" s="146"/>
      <c r="URD5" s="146"/>
      <c r="URE5" s="146"/>
      <c r="URF5" s="146"/>
      <c r="URG5" s="146"/>
      <c r="URH5" s="146"/>
      <c r="URI5" s="146"/>
      <c r="URJ5" s="146"/>
      <c r="URK5" s="146"/>
      <c r="URL5" s="146"/>
      <c r="URM5" s="146"/>
      <c r="URN5" s="146"/>
      <c r="URO5" s="146"/>
      <c r="URP5" s="146"/>
      <c r="URQ5" s="146"/>
      <c r="URR5" s="146"/>
      <c r="URS5" s="146"/>
      <c r="URT5" s="146"/>
      <c r="URU5" s="146"/>
      <c r="URV5" s="146"/>
      <c r="URW5" s="146"/>
      <c r="URX5" s="146"/>
      <c r="URY5" s="146"/>
      <c r="URZ5" s="146"/>
      <c r="USA5" s="146"/>
      <c r="USB5" s="146"/>
      <c r="USC5" s="146"/>
      <c r="USD5" s="146"/>
      <c r="USE5" s="146"/>
      <c r="USF5" s="146"/>
      <c r="USG5" s="146"/>
      <c r="USH5" s="146"/>
      <c r="USI5" s="146"/>
      <c r="USJ5" s="146"/>
      <c r="USK5" s="146"/>
      <c r="USL5" s="146"/>
      <c r="USM5" s="146"/>
      <c r="USN5" s="146"/>
      <c r="USO5" s="146"/>
      <c r="USP5" s="146"/>
      <c r="USQ5" s="146"/>
      <c r="USR5" s="146"/>
      <c r="USS5" s="146"/>
      <c r="UST5" s="146"/>
      <c r="USU5" s="146"/>
      <c r="USV5" s="146"/>
      <c r="USW5" s="146"/>
      <c r="USX5" s="146"/>
      <c r="USY5" s="146"/>
      <c r="USZ5" s="146"/>
      <c r="UTA5" s="146"/>
      <c r="UTB5" s="146"/>
      <c r="UTC5" s="146"/>
      <c r="UTD5" s="146"/>
      <c r="UTE5" s="146"/>
      <c r="UTF5" s="146"/>
      <c r="UTG5" s="146"/>
      <c r="UTH5" s="146"/>
      <c r="UTI5" s="146"/>
      <c r="UTJ5" s="146"/>
      <c r="UTK5" s="146"/>
      <c r="UTL5" s="146"/>
      <c r="UTM5" s="146"/>
      <c r="UTN5" s="146"/>
      <c r="UTO5" s="146"/>
      <c r="UTP5" s="146"/>
      <c r="UTQ5" s="146"/>
      <c r="UTR5" s="146"/>
      <c r="UTS5" s="146"/>
      <c r="UTT5" s="146"/>
      <c r="UTU5" s="146"/>
      <c r="UTV5" s="146"/>
      <c r="UTW5" s="146"/>
      <c r="UTX5" s="146"/>
      <c r="UTY5" s="146"/>
      <c r="UTZ5" s="146"/>
      <c r="UUA5" s="146"/>
      <c r="UUB5" s="146"/>
      <c r="UUC5" s="146"/>
      <c r="UUD5" s="146"/>
      <c r="UUE5" s="146"/>
      <c r="UUF5" s="146"/>
      <c r="UUG5" s="146"/>
      <c r="UUH5" s="146"/>
      <c r="UUI5" s="146"/>
      <c r="UUJ5" s="146"/>
      <c r="UUK5" s="146"/>
      <c r="UUL5" s="146"/>
      <c r="UUM5" s="146"/>
      <c r="UUN5" s="146"/>
      <c r="UUO5" s="146"/>
      <c r="UUP5" s="146"/>
      <c r="UUQ5" s="146"/>
      <c r="UUR5" s="146"/>
      <c r="UUS5" s="146"/>
      <c r="UUT5" s="146"/>
      <c r="UUU5" s="146"/>
      <c r="UUV5" s="146"/>
      <c r="UUW5" s="146"/>
      <c r="UUX5" s="146"/>
      <c r="UUY5" s="146"/>
      <c r="UUZ5" s="146"/>
      <c r="UVA5" s="146"/>
      <c r="UVB5" s="146"/>
      <c r="UVC5" s="146"/>
      <c r="UVD5" s="146"/>
      <c r="UVE5" s="146"/>
      <c r="UVF5" s="146"/>
      <c r="UVG5" s="146"/>
      <c r="UVH5" s="146"/>
      <c r="UVI5" s="146"/>
      <c r="UVJ5" s="146"/>
      <c r="UVK5" s="146"/>
      <c r="UVL5" s="146"/>
      <c r="UVM5" s="146"/>
      <c r="UVN5" s="146"/>
      <c r="UVO5" s="146"/>
      <c r="UVP5" s="146"/>
      <c r="UVQ5" s="146"/>
      <c r="UVR5" s="146"/>
      <c r="UVS5" s="146"/>
      <c r="UVT5" s="146"/>
      <c r="UVU5" s="146"/>
      <c r="UVV5" s="146"/>
      <c r="UVW5" s="146"/>
      <c r="UVX5" s="146"/>
      <c r="UVY5" s="146"/>
      <c r="UVZ5" s="146"/>
      <c r="UWA5" s="146"/>
      <c r="UWB5" s="146"/>
      <c r="UWC5" s="146"/>
      <c r="UWD5" s="146"/>
      <c r="UWE5" s="146"/>
      <c r="UWF5" s="146"/>
      <c r="UWG5" s="146"/>
      <c r="UWH5" s="146"/>
      <c r="UWI5" s="146"/>
      <c r="UWJ5" s="146"/>
      <c r="UWK5" s="146"/>
      <c r="UWL5" s="146"/>
      <c r="UWM5" s="146"/>
      <c r="UWN5" s="146"/>
      <c r="UWO5" s="146"/>
      <c r="UWP5" s="146"/>
      <c r="UWQ5" s="146"/>
      <c r="UWR5" s="146"/>
      <c r="UWS5" s="146"/>
      <c r="UWT5" s="146"/>
      <c r="UWU5" s="146"/>
      <c r="UWV5" s="146"/>
      <c r="UWW5" s="146"/>
      <c r="UWX5" s="146"/>
      <c r="UWY5" s="146"/>
      <c r="UWZ5" s="146"/>
      <c r="UXA5" s="146"/>
      <c r="UXB5" s="146"/>
      <c r="UXC5" s="146"/>
      <c r="UXD5" s="146"/>
      <c r="UXE5" s="146"/>
      <c r="UXF5" s="146"/>
      <c r="UXG5" s="146"/>
      <c r="UXH5" s="146"/>
      <c r="UXI5" s="146"/>
      <c r="UXJ5" s="146"/>
      <c r="UXK5" s="146"/>
      <c r="UXL5" s="146"/>
      <c r="UXM5" s="146"/>
      <c r="UXN5" s="146"/>
      <c r="UXO5" s="146"/>
      <c r="UXP5" s="146"/>
      <c r="UXQ5" s="146"/>
      <c r="UXR5" s="146"/>
      <c r="UXS5" s="146"/>
      <c r="UXT5" s="146"/>
      <c r="UXU5" s="146"/>
      <c r="UXV5" s="146"/>
      <c r="UXW5" s="146"/>
      <c r="UXX5" s="146"/>
      <c r="UXY5" s="146"/>
      <c r="UXZ5" s="146"/>
      <c r="UYA5" s="146"/>
      <c r="UYB5" s="146"/>
      <c r="UYC5" s="146"/>
      <c r="UYD5" s="146"/>
      <c r="UYE5" s="146"/>
      <c r="UYF5" s="146"/>
      <c r="UYG5" s="146"/>
      <c r="UYH5" s="146"/>
      <c r="UYI5" s="146"/>
      <c r="UYJ5" s="146"/>
      <c r="UYK5" s="146"/>
      <c r="UYL5" s="146"/>
      <c r="UYM5" s="146"/>
      <c r="UYN5" s="146"/>
      <c r="UYO5" s="146"/>
      <c r="UYP5" s="146"/>
      <c r="UYQ5" s="146"/>
      <c r="UYR5" s="146"/>
      <c r="UYS5" s="146"/>
      <c r="UYT5" s="146"/>
      <c r="UYU5" s="146"/>
      <c r="UYV5" s="146"/>
      <c r="UYW5" s="146"/>
      <c r="UYX5" s="146"/>
      <c r="UYY5" s="146"/>
      <c r="UYZ5" s="146"/>
      <c r="UZA5" s="146"/>
      <c r="UZB5" s="146"/>
      <c r="UZC5" s="146"/>
      <c r="UZD5" s="146"/>
      <c r="UZE5" s="146"/>
      <c r="UZF5" s="146"/>
      <c r="UZG5" s="146"/>
      <c r="UZH5" s="146"/>
      <c r="UZI5" s="146"/>
      <c r="UZJ5" s="146"/>
      <c r="UZK5" s="146"/>
      <c r="UZL5" s="146"/>
      <c r="UZM5" s="146"/>
      <c r="UZN5" s="146"/>
      <c r="UZO5" s="146"/>
      <c r="UZP5" s="146"/>
      <c r="UZQ5" s="146"/>
      <c r="UZR5" s="146"/>
      <c r="UZS5" s="146"/>
      <c r="UZT5" s="146"/>
      <c r="UZU5" s="146"/>
      <c r="UZV5" s="146"/>
      <c r="UZW5" s="146"/>
      <c r="UZX5" s="146"/>
      <c r="UZY5" s="146"/>
      <c r="UZZ5" s="146"/>
      <c r="VAA5" s="146"/>
      <c r="VAB5" s="146"/>
      <c r="VAC5" s="146"/>
      <c r="VAD5" s="146"/>
      <c r="VAE5" s="146"/>
      <c r="VAF5" s="146"/>
      <c r="VAG5" s="146"/>
      <c r="VAH5" s="146"/>
      <c r="VAI5" s="146"/>
      <c r="VAJ5" s="146"/>
      <c r="VAK5" s="146"/>
      <c r="VAL5" s="146"/>
      <c r="VAM5" s="146"/>
      <c r="VAN5" s="146"/>
      <c r="VAO5" s="146"/>
      <c r="VAP5" s="146"/>
      <c r="VAQ5" s="146"/>
      <c r="VAR5" s="146"/>
      <c r="VAS5" s="146"/>
      <c r="VAT5" s="146"/>
      <c r="VAU5" s="146"/>
      <c r="VAV5" s="146"/>
      <c r="VAW5" s="146"/>
      <c r="VAX5" s="146"/>
      <c r="VAY5" s="146"/>
      <c r="VAZ5" s="146"/>
      <c r="VBA5" s="146"/>
      <c r="VBB5" s="146"/>
      <c r="VBC5" s="146"/>
      <c r="VBD5" s="146"/>
      <c r="VBE5" s="146"/>
      <c r="VBF5" s="146"/>
      <c r="VBG5" s="146"/>
      <c r="VBH5" s="146"/>
      <c r="VBI5" s="146"/>
      <c r="VBJ5" s="146"/>
      <c r="VBK5" s="146"/>
      <c r="VBL5" s="146"/>
      <c r="VBM5" s="146"/>
      <c r="VBN5" s="146"/>
      <c r="VBO5" s="146"/>
      <c r="VBP5" s="146"/>
      <c r="VBQ5" s="146"/>
      <c r="VBR5" s="146"/>
      <c r="VBS5" s="146"/>
      <c r="VBT5" s="146"/>
      <c r="VBU5" s="146"/>
      <c r="VBV5" s="146"/>
      <c r="VBW5" s="146"/>
      <c r="VBX5" s="146"/>
      <c r="VBY5" s="146"/>
      <c r="VBZ5" s="146"/>
      <c r="VCA5" s="146"/>
      <c r="VCB5" s="146"/>
      <c r="VCC5" s="146"/>
      <c r="VCD5" s="146"/>
      <c r="VCE5" s="146"/>
      <c r="VCF5" s="146"/>
      <c r="VCG5" s="146"/>
      <c r="VCH5" s="146"/>
      <c r="VCI5" s="146"/>
      <c r="VCJ5" s="146"/>
      <c r="VCK5" s="146"/>
      <c r="VCL5" s="146"/>
      <c r="VCM5" s="146"/>
      <c r="VCN5" s="146"/>
      <c r="VCO5" s="146"/>
      <c r="VCP5" s="146"/>
      <c r="VCQ5" s="146"/>
      <c r="VCR5" s="146"/>
      <c r="VCS5" s="146"/>
      <c r="VCT5" s="146"/>
      <c r="VCU5" s="146"/>
      <c r="VCV5" s="146"/>
      <c r="VCW5" s="146"/>
      <c r="VCX5" s="146"/>
      <c r="VCY5" s="146"/>
      <c r="VCZ5" s="146"/>
      <c r="VDA5" s="146"/>
      <c r="VDB5" s="146"/>
      <c r="VDC5" s="146"/>
      <c r="VDD5" s="146"/>
      <c r="VDE5" s="146"/>
      <c r="VDF5" s="146"/>
      <c r="VDG5" s="146"/>
      <c r="VDH5" s="146"/>
      <c r="VDI5" s="146"/>
      <c r="VDJ5" s="146"/>
      <c r="VDK5" s="146"/>
      <c r="VDL5" s="146"/>
      <c r="VDM5" s="146"/>
      <c r="VDN5" s="146"/>
      <c r="VDO5" s="146"/>
      <c r="VDP5" s="146"/>
      <c r="VDQ5" s="146"/>
      <c r="VDR5" s="146"/>
      <c r="VDS5" s="146"/>
      <c r="VDT5" s="146"/>
      <c r="VDU5" s="146"/>
      <c r="VDV5" s="146"/>
      <c r="VDW5" s="146"/>
      <c r="VDX5" s="146"/>
      <c r="VDY5" s="146"/>
      <c r="VDZ5" s="146"/>
      <c r="VEA5" s="146"/>
      <c r="VEB5" s="146"/>
      <c r="VEC5" s="146"/>
      <c r="VED5" s="146"/>
      <c r="VEE5" s="146"/>
      <c r="VEF5" s="146"/>
      <c r="VEG5" s="146"/>
      <c r="VEH5" s="146"/>
      <c r="VEI5" s="146"/>
      <c r="VEJ5" s="146"/>
      <c r="VEK5" s="146"/>
      <c r="VEL5" s="146"/>
      <c r="VEM5" s="146"/>
      <c r="VEN5" s="146"/>
      <c r="VEO5" s="146"/>
      <c r="VEP5" s="146"/>
      <c r="VEQ5" s="146"/>
      <c r="VER5" s="146"/>
      <c r="VES5" s="146"/>
      <c r="VET5" s="146"/>
      <c r="VEU5" s="146"/>
      <c r="VEV5" s="146"/>
      <c r="VEW5" s="146"/>
      <c r="VEX5" s="146"/>
      <c r="VEY5" s="146"/>
      <c r="VEZ5" s="146"/>
      <c r="VFA5" s="146"/>
      <c r="VFB5" s="146"/>
      <c r="VFC5" s="146"/>
      <c r="VFD5" s="146"/>
      <c r="VFE5" s="146"/>
      <c r="VFF5" s="146"/>
      <c r="VFG5" s="146"/>
      <c r="VFH5" s="146"/>
      <c r="VFI5" s="146"/>
      <c r="VFJ5" s="146"/>
      <c r="VFK5" s="146"/>
      <c r="VFL5" s="146"/>
      <c r="VFM5" s="146"/>
      <c r="VFN5" s="146"/>
      <c r="VFO5" s="146"/>
      <c r="VFP5" s="146"/>
      <c r="VFQ5" s="146"/>
      <c r="VFR5" s="146"/>
      <c r="VFS5" s="146"/>
      <c r="VFT5" s="146"/>
      <c r="VFU5" s="146"/>
      <c r="VFV5" s="146"/>
      <c r="VFW5" s="146"/>
      <c r="VFX5" s="146"/>
      <c r="VFY5" s="146"/>
      <c r="VFZ5" s="146"/>
      <c r="VGA5" s="146"/>
      <c r="VGB5" s="146"/>
      <c r="VGC5" s="146"/>
      <c r="VGD5" s="146"/>
      <c r="VGE5" s="146"/>
      <c r="VGF5" s="146"/>
      <c r="VGG5" s="146"/>
      <c r="VGH5" s="146"/>
      <c r="VGI5" s="146"/>
      <c r="VGJ5" s="146"/>
      <c r="VGK5" s="146"/>
      <c r="VGL5" s="146"/>
      <c r="VGM5" s="146"/>
      <c r="VGN5" s="146"/>
      <c r="VGO5" s="146"/>
      <c r="VGP5" s="146"/>
      <c r="VGQ5" s="146"/>
      <c r="VGR5" s="146"/>
      <c r="VGS5" s="146"/>
      <c r="VGT5" s="146"/>
      <c r="VGU5" s="146"/>
      <c r="VGV5" s="146"/>
      <c r="VGW5" s="146"/>
      <c r="VGX5" s="146"/>
      <c r="VGY5" s="146"/>
      <c r="VGZ5" s="146"/>
      <c r="VHA5" s="146"/>
      <c r="VHB5" s="146"/>
      <c r="VHC5" s="146"/>
      <c r="VHD5" s="146"/>
      <c r="VHE5" s="146"/>
      <c r="VHF5" s="146"/>
      <c r="VHG5" s="146"/>
      <c r="VHH5" s="146"/>
      <c r="VHI5" s="146"/>
      <c r="VHJ5" s="146"/>
      <c r="VHK5" s="146"/>
      <c r="VHL5" s="146"/>
      <c r="VHM5" s="146"/>
      <c r="VHN5" s="146"/>
      <c r="VHO5" s="146"/>
      <c r="VHP5" s="146"/>
      <c r="VHQ5" s="146"/>
      <c r="VHR5" s="146"/>
      <c r="VHS5" s="146"/>
      <c r="VHT5" s="146"/>
      <c r="VHU5" s="146"/>
      <c r="VHV5" s="146"/>
      <c r="VHW5" s="146"/>
      <c r="VHX5" s="146"/>
      <c r="VHY5" s="146"/>
      <c r="VHZ5" s="146"/>
      <c r="VIA5" s="146"/>
      <c r="VIB5" s="146"/>
      <c r="VIC5" s="146"/>
      <c r="VID5" s="146"/>
      <c r="VIE5" s="146"/>
      <c r="VIF5" s="146"/>
      <c r="VIG5" s="146"/>
      <c r="VIH5" s="146"/>
      <c r="VII5" s="146"/>
      <c r="VIJ5" s="146"/>
      <c r="VIK5" s="146"/>
      <c r="VIL5" s="146"/>
      <c r="VIM5" s="146"/>
      <c r="VIN5" s="146"/>
      <c r="VIO5" s="146"/>
      <c r="VIP5" s="146"/>
      <c r="VIQ5" s="146"/>
      <c r="VIR5" s="146"/>
      <c r="VIS5" s="146"/>
      <c r="VIT5" s="146"/>
      <c r="VIU5" s="146"/>
      <c r="VIV5" s="146"/>
      <c r="VIW5" s="146"/>
      <c r="VIX5" s="146"/>
      <c r="VIY5" s="146"/>
      <c r="VIZ5" s="146"/>
      <c r="VJA5" s="146"/>
      <c r="VJB5" s="146"/>
      <c r="VJC5" s="146"/>
      <c r="VJD5" s="146"/>
      <c r="VJE5" s="146"/>
      <c r="VJF5" s="146"/>
      <c r="VJG5" s="146"/>
      <c r="VJH5" s="146"/>
      <c r="VJI5" s="146"/>
      <c r="VJJ5" s="146"/>
      <c r="VJK5" s="146"/>
      <c r="VJL5" s="146"/>
      <c r="VJM5" s="146"/>
      <c r="VJN5" s="146"/>
      <c r="VJO5" s="146"/>
      <c r="VJP5" s="146"/>
      <c r="VJQ5" s="146"/>
      <c r="VJR5" s="146"/>
      <c r="VJS5" s="146"/>
      <c r="VJT5" s="146"/>
      <c r="VJU5" s="146"/>
      <c r="VJV5" s="146"/>
      <c r="VJW5" s="146"/>
      <c r="VJX5" s="146"/>
      <c r="VJY5" s="146"/>
      <c r="VJZ5" s="146"/>
      <c r="VKA5" s="146"/>
      <c r="VKB5" s="146"/>
      <c r="VKC5" s="146"/>
      <c r="VKD5" s="146"/>
      <c r="VKE5" s="146"/>
      <c r="VKF5" s="146"/>
      <c r="VKG5" s="146"/>
      <c r="VKH5" s="146"/>
      <c r="VKI5" s="146"/>
      <c r="VKJ5" s="146"/>
      <c r="VKK5" s="146"/>
      <c r="VKL5" s="146"/>
      <c r="VKM5" s="146"/>
      <c r="VKN5" s="146"/>
      <c r="VKO5" s="146"/>
      <c r="VKP5" s="146"/>
      <c r="VKQ5" s="146"/>
      <c r="VKR5" s="146"/>
      <c r="VKS5" s="146"/>
      <c r="VKT5" s="146"/>
      <c r="VKU5" s="146"/>
      <c r="VKV5" s="146"/>
      <c r="VKW5" s="146"/>
      <c r="VKX5" s="146"/>
      <c r="VKY5" s="146"/>
      <c r="VKZ5" s="146"/>
      <c r="VLA5" s="146"/>
      <c r="VLB5" s="146"/>
      <c r="VLC5" s="146"/>
      <c r="VLD5" s="146"/>
      <c r="VLE5" s="146"/>
      <c r="VLF5" s="146"/>
      <c r="VLG5" s="146"/>
      <c r="VLH5" s="146"/>
      <c r="VLI5" s="146"/>
      <c r="VLJ5" s="146"/>
      <c r="VLK5" s="146"/>
      <c r="VLL5" s="146"/>
      <c r="VLM5" s="146"/>
      <c r="VLN5" s="146"/>
      <c r="VLO5" s="146"/>
      <c r="VLP5" s="146"/>
      <c r="VLQ5" s="146"/>
      <c r="VLR5" s="146"/>
      <c r="VLS5" s="146"/>
      <c r="VLT5" s="146"/>
      <c r="VLU5" s="146"/>
      <c r="VLV5" s="146"/>
      <c r="VLW5" s="146"/>
      <c r="VLX5" s="146"/>
      <c r="VLY5" s="146"/>
      <c r="VLZ5" s="146"/>
      <c r="VMA5" s="146"/>
      <c r="VMB5" s="146"/>
      <c r="VMC5" s="146"/>
      <c r="VMD5" s="146"/>
      <c r="VME5" s="146"/>
      <c r="VMF5" s="146"/>
      <c r="VMG5" s="146"/>
      <c r="VMH5" s="146"/>
      <c r="VMI5" s="146"/>
      <c r="VMJ5" s="146"/>
      <c r="VMK5" s="146"/>
      <c r="VML5" s="146"/>
      <c r="VMM5" s="146"/>
      <c r="VMN5" s="146"/>
      <c r="VMO5" s="146"/>
      <c r="VMP5" s="146"/>
      <c r="VMQ5" s="146"/>
      <c r="VMR5" s="146"/>
      <c r="VMS5" s="146"/>
      <c r="VMT5" s="146"/>
      <c r="VMU5" s="146"/>
      <c r="VMV5" s="146"/>
      <c r="VMW5" s="146"/>
      <c r="VMX5" s="146"/>
      <c r="VMY5" s="146"/>
      <c r="VMZ5" s="146"/>
      <c r="VNA5" s="146"/>
      <c r="VNB5" s="146"/>
      <c r="VNC5" s="146"/>
      <c r="VND5" s="146"/>
      <c r="VNE5" s="146"/>
      <c r="VNF5" s="146"/>
      <c r="VNG5" s="146"/>
      <c r="VNH5" s="146"/>
      <c r="VNI5" s="146"/>
      <c r="VNJ5" s="146"/>
      <c r="VNK5" s="146"/>
      <c r="VNL5" s="146"/>
      <c r="VNM5" s="146"/>
      <c r="VNN5" s="146"/>
      <c r="VNO5" s="146"/>
      <c r="VNP5" s="146"/>
      <c r="VNQ5" s="146"/>
      <c r="VNR5" s="146"/>
      <c r="VNS5" s="146"/>
      <c r="VNT5" s="146"/>
      <c r="VNU5" s="146"/>
      <c r="VNV5" s="146"/>
      <c r="VNW5" s="146"/>
      <c r="VNX5" s="146"/>
      <c r="VNY5" s="146"/>
      <c r="VNZ5" s="146"/>
      <c r="VOA5" s="146"/>
      <c r="VOB5" s="146"/>
      <c r="VOC5" s="146"/>
      <c r="VOD5" s="146"/>
      <c r="VOE5" s="146"/>
      <c r="VOF5" s="146"/>
      <c r="VOG5" s="146"/>
      <c r="VOH5" s="146"/>
      <c r="VOI5" s="146"/>
      <c r="VOJ5" s="146"/>
      <c r="VOK5" s="146"/>
      <c r="VOL5" s="146"/>
      <c r="VOM5" s="146"/>
      <c r="VON5" s="146"/>
      <c r="VOO5" s="146"/>
      <c r="VOP5" s="146"/>
      <c r="VOQ5" s="146"/>
      <c r="VOR5" s="146"/>
      <c r="VOS5" s="146"/>
      <c r="VOT5" s="146"/>
      <c r="VOU5" s="146"/>
      <c r="VOV5" s="146"/>
      <c r="VOW5" s="146"/>
      <c r="VOX5" s="146"/>
      <c r="VOY5" s="146"/>
      <c r="VOZ5" s="146"/>
      <c r="VPA5" s="146"/>
      <c r="VPB5" s="146"/>
      <c r="VPC5" s="146"/>
      <c r="VPD5" s="146"/>
      <c r="VPE5" s="146"/>
      <c r="VPF5" s="146"/>
      <c r="VPG5" s="146"/>
      <c r="VPH5" s="146"/>
      <c r="VPI5" s="146"/>
      <c r="VPJ5" s="146"/>
      <c r="VPK5" s="146"/>
      <c r="VPL5" s="146"/>
      <c r="VPM5" s="146"/>
      <c r="VPN5" s="146"/>
      <c r="VPO5" s="146"/>
      <c r="VPP5" s="146"/>
      <c r="VPQ5" s="146"/>
      <c r="VPR5" s="146"/>
      <c r="VPS5" s="146"/>
      <c r="VPT5" s="146"/>
      <c r="VPU5" s="146"/>
      <c r="VPV5" s="146"/>
      <c r="VPW5" s="146"/>
      <c r="VPX5" s="146"/>
      <c r="VPY5" s="146"/>
      <c r="VPZ5" s="146"/>
      <c r="VQA5" s="146"/>
      <c r="VQB5" s="146"/>
      <c r="VQC5" s="146"/>
      <c r="VQD5" s="146"/>
      <c r="VQE5" s="146"/>
      <c r="VQF5" s="146"/>
      <c r="VQG5" s="146"/>
      <c r="VQH5" s="146"/>
      <c r="VQI5" s="146"/>
      <c r="VQJ5" s="146"/>
      <c r="VQK5" s="146"/>
      <c r="VQL5" s="146"/>
      <c r="VQM5" s="146"/>
      <c r="VQN5" s="146"/>
      <c r="VQO5" s="146"/>
      <c r="VQP5" s="146"/>
      <c r="VQQ5" s="146"/>
      <c r="VQR5" s="146"/>
      <c r="VQS5" s="146"/>
      <c r="VQT5" s="146"/>
      <c r="VQU5" s="146"/>
      <c r="VQV5" s="146"/>
      <c r="VQW5" s="146"/>
      <c r="VQX5" s="146"/>
      <c r="VQY5" s="146"/>
      <c r="VQZ5" s="146"/>
      <c r="VRA5" s="146"/>
      <c r="VRB5" s="146"/>
      <c r="VRC5" s="146"/>
      <c r="VRD5" s="146"/>
      <c r="VRE5" s="146"/>
      <c r="VRF5" s="146"/>
      <c r="VRG5" s="146"/>
      <c r="VRH5" s="146"/>
      <c r="VRI5" s="146"/>
      <c r="VRJ5" s="146"/>
      <c r="VRK5" s="146"/>
      <c r="VRL5" s="146"/>
      <c r="VRM5" s="146"/>
      <c r="VRN5" s="146"/>
      <c r="VRO5" s="146"/>
      <c r="VRP5" s="146"/>
      <c r="VRQ5" s="146"/>
      <c r="VRR5" s="146"/>
      <c r="VRS5" s="146"/>
      <c r="VRT5" s="146"/>
      <c r="VRU5" s="146"/>
      <c r="VRV5" s="146"/>
      <c r="VRW5" s="146"/>
      <c r="VRX5" s="146"/>
      <c r="VRY5" s="146"/>
      <c r="VRZ5" s="146"/>
      <c r="VSA5" s="146"/>
      <c r="VSB5" s="146"/>
      <c r="VSC5" s="146"/>
      <c r="VSD5" s="146"/>
      <c r="VSE5" s="146"/>
      <c r="VSF5" s="146"/>
      <c r="VSG5" s="146"/>
      <c r="VSH5" s="146"/>
      <c r="VSI5" s="146"/>
      <c r="VSJ5" s="146"/>
      <c r="VSK5" s="146"/>
      <c r="VSL5" s="146"/>
      <c r="VSM5" s="146"/>
      <c r="VSN5" s="146"/>
      <c r="VSO5" s="146"/>
      <c r="VSP5" s="146"/>
      <c r="VSQ5" s="146"/>
      <c r="VSR5" s="146"/>
      <c r="VSS5" s="146"/>
      <c r="VST5" s="146"/>
      <c r="VSU5" s="146"/>
      <c r="VSV5" s="146"/>
      <c r="VSW5" s="146"/>
      <c r="VSX5" s="146"/>
      <c r="VSY5" s="146"/>
      <c r="VSZ5" s="146"/>
      <c r="VTA5" s="146"/>
      <c r="VTB5" s="146"/>
      <c r="VTC5" s="146"/>
      <c r="VTD5" s="146"/>
      <c r="VTE5" s="146"/>
      <c r="VTF5" s="146"/>
      <c r="VTG5" s="146"/>
      <c r="VTH5" s="146"/>
      <c r="VTI5" s="146"/>
      <c r="VTJ5" s="146"/>
      <c r="VTK5" s="146"/>
      <c r="VTL5" s="146"/>
      <c r="VTM5" s="146"/>
      <c r="VTN5" s="146"/>
      <c r="VTO5" s="146"/>
      <c r="VTP5" s="146"/>
      <c r="VTQ5" s="146"/>
      <c r="VTR5" s="146"/>
      <c r="VTS5" s="146"/>
      <c r="VTT5" s="146"/>
      <c r="VTU5" s="146"/>
      <c r="VTV5" s="146"/>
      <c r="VTW5" s="146"/>
      <c r="VTX5" s="146"/>
      <c r="VTY5" s="146"/>
      <c r="VTZ5" s="146"/>
      <c r="VUA5" s="146"/>
      <c r="VUB5" s="146"/>
      <c r="VUC5" s="146"/>
      <c r="VUD5" s="146"/>
      <c r="VUE5" s="146"/>
      <c r="VUF5" s="146"/>
      <c r="VUG5" s="146"/>
      <c r="VUH5" s="146"/>
      <c r="VUI5" s="146"/>
      <c r="VUJ5" s="146"/>
      <c r="VUK5" s="146"/>
      <c r="VUL5" s="146"/>
      <c r="VUM5" s="146"/>
      <c r="VUN5" s="146"/>
      <c r="VUO5" s="146"/>
      <c r="VUP5" s="146"/>
      <c r="VUQ5" s="146"/>
      <c r="VUR5" s="146"/>
      <c r="VUS5" s="146"/>
      <c r="VUT5" s="146"/>
      <c r="VUU5" s="146"/>
      <c r="VUV5" s="146"/>
      <c r="VUW5" s="146"/>
      <c r="VUX5" s="146"/>
      <c r="VUY5" s="146"/>
      <c r="VUZ5" s="146"/>
      <c r="VVA5" s="146"/>
      <c r="VVB5" s="146"/>
      <c r="VVC5" s="146"/>
      <c r="VVD5" s="146"/>
      <c r="VVE5" s="146"/>
      <c r="VVF5" s="146"/>
      <c r="VVG5" s="146"/>
      <c r="VVH5" s="146"/>
      <c r="VVI5" s="146"/>
      <c r="VVJ5" s="146"/>
      <c r="VVK5" s="146"/>
      <c r="VVL5" s="146"/>
      <c r="VVM5" s="146"/>
      <c r="VVN5" s="146"/>
      <c r="VVO5" s="146"/>
      <c r="VVP5" s="146"/>
      <c r="VVQ5" s="146"/>
      <c r="VVR5" s="146"/>
      <c r="VVS5" s="146"/>
      <c r="VVT5" s="146"/>
      <c r="VVU5" s="146"/>
      <c r="VVV5" s="146"/>
      <c r="VVW5" s="146"/>
      <c r="VVX5" s="146"/>
      <c r="VVY5" s="146"/>
      <c r="VVZ5" s="146"/>
      <c r="VWA5" s="146"/>
      <c r="VWB5" s="146"/>
      <c r="VWC5" s="146"/>
      <c r="VWD5" s="146"/>
      <c r="VWE5" s="146"/>
      <c r="VWF5" s="146"/>
      <c r="VWG5" s="146"/>
      <c r="VWH5" s="146"/>
      <c r="VWI5" s="146"/>
      <c r="VWJ5" s="146"/>
      <c r="VWK5" s="146"/>
      <c r="VWL5" s="146"/>
      <c r="VWM5" s="146"/>
      <c r="VWN5" s="146"/>
      <c r="VWO5" s="146"/>
      <c r="VWP5" s="146"/>
      <c r="VWQ5" s="146"/>
      <c r="VWR5" s="146"/>
      <c r="VWS5" s="146"/>
      <c r="VWT5" s="146"/>
      <c r="VWU5" s="146"/>
      <c r="VWV5" s="146"/>
      <c r="VWW5" s="146"/>
      <c r="VWX5" s="146"/>
      <c r="VWY5" s="146"/>
      <c r="VWZ5" s="146"/>
      <c r="VXA5" s="146"/>
      <c r="VXB5" s="146"/>
      <c r="VXC5" s="146"/>
      <c r="VXD5" s="146"/>
      <c r="VXE5" s="146"/>
      <c r="VXF5" s="146"/>
      <c r="VXG5" s="146"/>
      <c r="VXH5" s="146"/>
      <c r="VXI5" s="146"/>
      <c r="VXJ5" s="146"/>
      <c r="VXK5" s="146"/>
      <c r="VXL5" s="146"/>
      <c r="VXM5" s="146"/>
      <c r="VXN5" s="146"/>
      <c r="VXO5" s="146"/>
      <c r="VXP5" s="146"/>
      <c r="VXQ5" s="146"/>
      <c r="VXR5" s="146"/>
      <c r="VXS5" s="146"/>
      <c r="VXT5" s="146"/>
      <c r="VXU5" s="146"/>
      <c r="VXV5" s="146"/>
      <c r="VXW5" s="146"/>
      <c r="VXX5" s="146"/>
      <c r="VXY5" s="146"/>
      <c r="VXZ5" s="146"/>
      <c r="VYA5" s="146"/>
      <c r="VYB5" s="146"/>
      <c r="VYC5" s="146"/>
      <c r="VYD5" s="146"/>
      <c r="VYE5" s="146"/>
      <c r="VYF5" s="146"/>
      <c r="VYG5" s="146"/>
      <c r="VYH5" s="146"/>
      <c r="VYI5" s="146"/>
      <c r="VYJ5" s="146"/>
      <c r="VYK5" s="146"/>
      <c r="VYL5" s="146"/>
      <c r="VYM5" s="146"/>
      <c r="VYN5" s="146"/>
      <c r="VYO5" s="146"/>
      <c r="VYP5" s="146"/>
      <c r="VYQ5" s="146"/>
      <c r="VYR5" s="146"/>
      <c r="VYS5" s="146"/>
      <c r="VYT5" s="146"/>
      <c r="VYU5" s="146"/>
      <c r="VYV5" s="146"/>
      <c r="VYW5" s="146"/>
      <c r="VYX5" s="146"/>
      <c r="VYY5" s="146"/>
      <c r="VYZ5" s="146"/>
      <c r="VZA5" s="146"/>
      <c r="VZB5" s="146"/>
      <c r="VZC5" s="146"/>
      <c r="VZD5" s="146"/>
      <c r="VZE5" s="146"/>
      <c r="VZF5" s="146"/>
      <c r="VZG5" s="146"/>
      <c r="VZH5" s="146"/>
      <c r="VZI5" s="146"/>
      <c r="VZJ5" s="146"/>
      <c r="VZK5" s="146"/>
      <c r="VZL5" s="146"/>
      <c r="VZM5" s="146"/>
      <c r="VZN5" s="146"/>
      <c r="VZO5" s="146"/>
      <c r="VZP5" s="146"/>
      <c r="VZQ5" s="146"/>
      <c r="VZR5" s="146"/>
      <c r="VZS5" s="146"/>
      <c r="VZT5" s="146"/>
      <c r="VZU5" s="146"/>
      <c r="VZV5" s="146"/>
      <c r="VZW5" s="146"/>
      <c r="VZX5" s="146"/>
      <c r="VZY5" s="146"/>
      <c r="VZZ5" s="146"/>
      <c r="WAA5" s="146"/>
      <c r="WAB5" s="146"/>
      <c r="WAC5" s="146"/>
      <c r="WAD5" s="146"/>
      <c r="WAE5" s="146"/>
      <c r="WAF5" s="146"/>
      <c r="WAG5" s="146"/>
      <c r="WAH5" s="146"/>
      <c r="WAI5" s="146"/>
      <c r="WAJ5" s="146"/>
      <c r="WAK5" s="146"/>
      <c r="WAL5" s="146"/>
      <c r="WAM5" s="146"/>
      <c r="WAN5" s="146"/>
      <c r="WAO5" s="146"/>
      <c r="WAP5" s="146"/>
      <c r="WAQ5" s="146"/>
      <c r="WAR5" s="146"/>
      <c r="WAS5" s="146"/>
      <c r="WAT5" s="146"/>
      <c r="WAU5" s="146"/>
      <c r="WAV5" s="146"/>
      <c r="WAW5" s="146"/>
      <c r="WAX5" s="146"/>
      <c r="WAY5" s="146"/>
      <c r="WAZ5" s="146"/>
      <c r="WBA5" s="146"/>
      <c r="WBB5" s="146"/>
      <c r="WBC5" s="146"/>
      <c r="WBD5" s="146"/>
      <c r="WBE5" s="146"/>
      <c r="WBF5" s="146"/>
      <c r="WBG5" s="146"/>
      <c r="WBH5" s="146"/>
      <c r="WBI5" s="146"/>
      <c r="WBJ5" s="146"/>
      <c r="WBK5" s="146"/>
      <c r="WBL5" s="146"/>
      <c r="WBM5" s="146"/>
      <c r="WBN5" s="146"/>
      <c r="WBO5" s="146"/>
      <c r="WBP5" s="146"/>
      <c r="WBQ5" s="146"/>
      <c r="WBR5" s="146"/>
      <c r="WBS5" s="146"/>
      <c r="WBT5" s="146"/>
      <c r="WBU5" s="146"/>
      <c r="WBV5" s="146"/>
      <c r="WBW5" s="146"/>
      <c r="WBX5" s="146"/>
      <c r="WBY5" s="146"/>
      <c r="WBZ5" s="146"/>
      <c r="WCA5" s="146"/>
      <c r="WCB5" s="146"/>
      <c r="WCC5" s="146"/>
      <c r="WCD5" s="146"/>
      <c r="WCE5" s="146"/>
      <c r="WCF5" s="146"/>
      <c r="WCG5" s="146"/>
      <c r="WCH5" s="146"/>
      <c r="WCI5" s="146"/>
      <c r="WCJ5" s="146"/>
      <c r="WCK5" s="146"/>
      <c r="WCL5" s="146"/>
      <c r="WCM5" s="146"/>
      <c r="WCN5" s="146"/>
      <c r="WCO5" s="146"/>
      <c r="WCP5" s="146"/>
      <c r="WCQ5" s="146"/>
      <c r="WCR5" s="146"/>
      <c r="WCS5" s="146"/>
      <c r="WCT5" s="146"/>
      <c r="WCU5" s="146"/>
      <c r="WCV5" s="146"/>
      <c r="WCW5" s="146"/>
      <c r="WCX5" s="146"/>
      <c r="WCY5" s="146"/>
      <c r="WCZ5" s="146"/>
      <c r="WDA5" s="146"/>
      <c r="WDB5" s="146"/>
      <c r="WDC5" s="146"/>
      <c r="WDD5" s="146"/>
      <c r="WDE5" s="146"/>
      <c r="WDF5" s="146"/>
      <c r="WDG5" s="146"/>
      <c r="WDH5" s="146"/>
      <c r="WDI5" s="146"/>
      <c r="WDJ5" s="146"/>
      <c r="WDK5" s="146"/>
      <c r="WDL5" s="146"/>
      <c r="WDM5" s="146"/>
      <c r="WDN5" s="146"/>
      <c r="WDO5" s="146"/>
      <c r="WDP5" s="146"/>
      <c r="WDQ5" s="146"/>
      <c r="WDR5" s="146"/>
      <c r="WDS5" s="146"/>
      <c r="WDT5" s="146"/>
      <c r="WDU5" s="146"/>
      <c r="WDV5" s="146"/>
      <c r="WDW5" s="146"/>
      <c r="WDX5" s="146"/>
      <c r="WDY5" s="146"/>
      <c r="WDZ5" s="146"/>
      <c r="WEA5" s="146"/>
      <c r="WEB5" s="146"/>
      <c r="WEC5" s="146"/>
      <c r="WED5" s="146"/>
      <c r="WEE5" s="146"/>
      <c r="WEF5" s="146"/>
      <c r="WEG5" s="146"/>
      <c r="WEH5" s="146"/>
      <c r="WEI5" s="146"/>
      <c r="WEJ5" s="146"/>
      <c r="WEK5" s="146"/>
      <c r="WEL5" s="146"/>
      <c r="WEM5" s="146"/>
      <c r="WEN5" s="146"/>
      <c r="WEO5" s="146"/>
      <c r="WEP5" s="146"/>
      <c r="WEQ5" s="146"/>
      <c r="WER5" s="146"/>
      <c r="WES5" s="146"/>
      <c r="WET5" s="146"/>
      <c r="WEU5" s="146"/>
      <c r="WEV5" s="146"/>
      <c r="WEW5" s="146"/>
      <c r="WEX5" s="146"/>
      <c r="WEY5" s="146"/>
      <c r="WEZ5" s="146"/>
      <c r="WFA5" s="146"/>
      <c r="WFB5" s="146"/>
      <c r="WFC5" s="146"/>
      <c r="WFD5" s="146"/>
      <c r="WFE5" s="146"/>
      <c r="WFF5" s="146"/>
      <c r="WFG5" s="146"/>
      <c r="WFH5" s="146"/>
      <c r="WFI5" s="146"/>
      <c r="WFJ5" s="146"/>
      <c r="WFK5" s="146"/>
      <c r="WFL5" s="146"/>
      <c r="WFM5" s="146"/>
      <c r="WFN5" s="146"/>
      <c r="WFO5" s="146"/>
      <c r="WFP5" s="146"/>
      <c r="WFQ5" s="146"/>
      <c r="WFR5" s="146"/>
      <c r="WFS5" s="146"/>
      <c r="WFT5" s="146"/>
      <c r="WFU5" s="146"/>
      <c r="WFV5" s="146"/>
      <c r="WFW5" s="146"/>
      <c r="WFX5" s="146"/>
      <c r="WFY5" s="146"/>
      <c r="WFZ5" s="146"/>
      <c r="WGA5" s="146"/>
      <c r="WGB5" s="146"/>
      <c r="WGC5" s="146"/>
      <c r="WGD5" s="146"/>
      <c r="WGE5" s="146"/>
      <c r="WGF5" s="146"/>
      <c r="WGG5" s="146"/>
      <c r="WGH5" s="146"/>
      <c r="WGI5" s="146"/>
      <c r="WGJ5" s="146"/>
      <c r="WGK5" s="146"/>
      <c r="WGL5" s="146"/>
      <c r="WGM5" s="146"/>
      <c r="WGN5" s="146"/>
      <c r="WGO5" s="146"/>
      <c r="WGP5" s="146"/>
      <c r="WGQ5" s="146"/>
      <c r="WGR5" s="146"/>
      <c r="WGS5" s="146"/>
      <c r="WGT5" s="146"/>
      <c r="WGU5" s="146"/>
      <c r="WGV5" s="146"/>
      <c r="WGW5" s="146"/>
      <c r="WGX5" s="146"/>
      <c r="WGY5" s="146"/>
      <c r="WGZ5" s="146"/>
      <c r="WHA5" s="146"/>
      <c r="WHB5" s="146"/>
      <c r="WHC5" s="146"/>
      <c r="WHD5" s="146"/>
      <c r="WHE5" s="146"/>
      <c r="WHF5" s="146"/>
      <c r="WHG5" s="146"/>
      <c r="WHH5" s="146"/>
      <c r="WHI5" s="146"/>
      <c r="WHJ5" s="146"/>
      <c r="WHK5" s="146"/>
      <c r="WHL5" s="146"/>
      <c r="WHM5" s="146"/>
      <c r="WHN5" s="146"/>
      <c r="WHO5" s="146"/>
      <c r="WHP5" s="146"/>
      <c r="WHQ5" s="146"/>
      <c r="WHR5" s="146"/>
      <c r="WHS5" s="146"/>
      <c r="WHT5" s="146"/>
      <c r="WHU5" s="146"/>
      <c r="WHV5" s="146"/>
      <c r="WHW5" s="146"/>
      <c r="WHX5" s="146"/>
      <c r="WHY5" s="146"/>
      <c r="WHZ5" s="146"/>
      <c r="WIA5" s="146"/>
      <c r="WIB5" s="146"/>
      <c r="WIC5" s="146"/>
      <c r="WID5" s="146"/>
      <c r="WIE5" s="146"/>
      <c r="WIF5" s="146"/>
      <c r="WIG5" s="146"/>
      <c r="WIH5" s="146"/>
      <c r="WII5" s="146"/>
      <c r="WIJ5" s="146"/>
      <c r="WIK5" s="146"/>
      <c r="WIL5" s="146"/>
      <c r="WIM5" s="146"/>
      <c r="WIN5" s="146"/>
      <c r="WIO5" s="146"/>
      <c r="WIP5" s="146"/>
      <c r="WIQ5" s="146"/>
      <c r="WIR5" s="146"/>
      <c r="WIS5" s="146"/>
      <c r="WIT5" s="146"/>
      <c r="WIU5" s="146"/>
      <c r="WIV5" s="146"/>
      <c r="WIW5" s="146"/>
      <c r="WIX5" s="146"/>
      <c r="WIY5" s="146"/>
      <c r="WIZ5" s="146"/>
      <c r="WJA5" s="146"/>
      <c r="WJB5" s="146"/>
      <c r="WJC5" s="146"/>
      <c r="WJD5" s="146"/>
      <c r="WJE5" s="146"/>
      <c r="WJF5" s="146"/>
      <c r="WJG5" s="146"/>
      <c r="WJH5" s="146"/>
      <c r="WJI5" s="146"/>
      <c r="WJJ5" s="146"/>
      <c r="WJK5" s="146"/>
      <c r="WJL5" s="146"/>
      <c r="WJM5" s="146"/>
      <c r="WJN5" s="146"/>
      <c r="WJO5" s="146"/>
      <c r="WJP5" s="146"/>
      <c r="WJQ5" s="146"/>
      <c r="WJR5" s="146"/>
      <c r="WJS5" s="146"/>
      <c r="WJT5" s="146"/>
      <c r="WJU5" s="146"/>
      <c r="WJV5" s="146"/>
      <c r="WJW5" s="146"/>
      <c r="WJX5" s="146"/>
      <c r="WJY5" s="146"/>
      <c r="WJZ5" s="146"/>
      <c r="WKA5" s="146"/>
      <c r="WKB5" s="146"/>
      <c r="WKC5" s="146"/>
      <c r="WKD5" s="146"/>
      <c r="WKE5" s="146"/>
      <c r="WKF5" s="146"/>
      <c r="WKG5" s="146"/>
      <c r="WKH5" s="146"/>
      <c r="WKI5" s="146"/>
      <c r="WKJ5" s="146"/>
      <c r="WKK5" s="146"/>
      <c r="WKL5" s="146"/>
      <c r="WKM5" s="146"/>
      <c r="WKN5" s="146"/>
      <c r="WKO5" s="146"/>
      <c r="WKP5" s="146"/>
      <c r="WKQ5" s="146"/>
      <c r="WKR5" s="146"/>
      <c r="WKS5" s="146"/>
      <c r="WKT5" s="146"/>
      <c r="WKU5" s="146"/>
      <c r="WKV5" s="146"/>
      <c r="WKW5" s="146"/>
      <c r="WKX5" s="146"/>
      <c r="WKY5" s="146"/>
      <c r="WKZ5" s="146"/>
      <c r="WLA5" s="146"/>
      <c r="WLB5" s="146"/>
      <c r="WLC5" s="146"/>
      <c r="WLD5" s="146"/>
      <c r="WLE5" s="146"/>
      <c r="WLF5" s="146"/>
      <c r="WLG5" s="146"/>
      <c r="WLH5" s="146"/>
      <c r="WLI5" s="146"/>
      <c r="WLJ5" s="146"/>
      <c r="WLK5" s="146"/>
      <c r="WLL5" s="146"/>
      <c r="WLM5" s="146"/>
      <c r="WLN5" s="146"/>
      <c r="WLO5" s="146"/>
      <c r="WLP5" s="146"/>
      <c r="WLQ5" s="146"/>
      <c r="WLR5" s="146"/>
      <c r="WLS5" s="146"/>
      <c r="WLT5" s="146"/>
      <c r="WLU5" s="146"/>
      <c r="WLV5" s="146"/>
      <c r="WLW5" s="146"/>
      <c r="WLX5" s="146"/>
      <c r="WLY5" s="146"/>
      <c r="WLZ5" s="146"/>
      <c r="WMA5" s="146"/>
      <c r="WMB5" s="146"/>
      <c r="WMC5" s="146"/>
      <c r="WMD5" s="146"/>
      <c r="WME5" s="146"/>
      <c r="WMF5" s="146"/>
      <c r="WMG5" s="146"/>
      <c r="WMH5" s="146"/>
      <c r="WMI5" s="146"/>
      <c r="WMJ5" s="146"/>
      <c r="WMK5" s="146"/>
      <c r="WML5" s="146"/>
      <c r="WMM5" s="146"/>
      <c r="WMN5" s="146"/>
      <c r="WMO5" s="146"/>
      <c r="WMP5" s="146"/>
      <c r="WMQ5" s="146"/>
      <c r="WMR5" s="146"/>
      <c r="WMS5" s="146"/>
      <c r="WMT5" s="146"/>
      <c r="WMU5" s="146"/>
      <c r="WMV5" s="146"/>
      <c r="WMW5" s="146"/>
      <c r="WMX5" s="146"/>
      <c r="WMY5" s="146"/>
      <c r="WMZ5" s="146"/>
      <c r="WNA5" s="146"/>
      <c r="WNB5" s="146"/>
      <c r="WNC5" s="146"/>
      <c r="WND5" s="146"/>
      <c r="WNE5" s="146"/>
      <c r="WNF5" s="146"/>
      <c r="WNG5" s="146"/>
      <c r="WNH5" s="146"/>
      <c r="WNI5" s="146"/>
      <c r="WNJ5" s="146"/>
      <c r="WNK5" s="146"/>
      <c r="WNL5" s="146"/>
      <c r="WNM5" s="146"/>
      <c r="WNN5" s="146"/>
      <c r="WNO5" s="146"/>
      <c r="WNP5" s="146"/>
      <c r="WNQ5" s="146"/>
      <c r="WNR5" s="146"/>
      <c r="WNS5" s="146"/>
      <c r="WNT5" s="146"/>
      <c r="WNU5" s="146"/>
      <c r="WNV5" s="146"/>
      <c r="WNW5" s="146"/>
      <c r="WNX5" s="146"/>
      <c r="WNY5" s="146"/>
      <c r="WNZ5" s="146"/>
      <c r="WOA5" s="146"/>
      <c r="WOB5" s="146"/>
      <c r="WOC5" s="146"/>
      <c r="WOD5" s="146"/>
      <c r="WOE5" s="146"/>
      <c r="WOF5" s="146"/>
      <c r="WOG5" s="146"/>
      <c r="WOH5" s="146"/>
      <c r="WOI5" s="146"/>
      <c r="WOJ5" s="146"/>
      <c r="WOK5" s="146"/>
      <c r="WOL5" s="146"/>
      <c r="WOM5" s="146"/>
      <c r="WON5" s="146"/>
      <c r="WOO5" s="146"/>
      <c r="WOP5" s="146"/>
      <c r="WOQ5" s="146"/>
      <c r="WOR5" s="146"/>
      <c r="WOS5" s="146"/>
      <c r="WOT5" s="146"/>
      <c r="WOU5" s="146"/>
      <c r="WOV5" s="146"/>
      <c r="WOW5" s="146"/>
      <c r="WOX5" s="146"/>
      <c r="WOY5" s="146"/>
      <c r="WOZ5" s="146"/>
      <c r="WPA5" s="146"/>
      <c r="WPB5" s="146"/>
      <c r="WPC5" s="146"/>
      <c r="WPD5" s="146"/>
      <c r="WPE5" s="146"/>
      <c r="WPF5" s="146"/>
      <c r="WPG5" s="146"/>
      <c r="WPH5" s="146"/>
      <c r="WPI5" s="146"/>
      <c r="WPJ5" s="146"/>
      <c r="WPK5" s="146"/>
      <c r="WPL5" s="146"/>
      <c r="WPM5" s="146"/>
      <c r="WPN5" s="146"/>
      <c r="WPO5" s="146"/>
      <c r="WPP5" s="146"/>
      <c r="WPQ5" s="146"/>
      <c r="WPR5" s="146"/>
      <c r="WPS5" s="146"/>
      <c r="WPT5" s="146"/>
      <c r="WPU5" s="146"/>
      <c r="WPV5" s="146"/>
      <c r="WPW5" s="146"/>
      <c r="WPX5" s="146"/>
      <c r="WPY5" s="146"/>
      <c r="WPZ5" s="146"/>
      <c r="WQA5" s="146"/>
      <c r="WQB5" s="146"/>
      <c r="WQC5" s="146"/>
      <c r="WQD5" s="146"/>
      <c r="WQE5" s="146"/>
      <c r="WQF5" s="146"/>
      <c r="WQG5" s="146"/>
      <c r="WQH5" s="146"/>
      <c r="WQI5" s="146"/>
      <c r="WQJ5" s="146"/>
      <c r="WQK5" s="146"/>
      <c r="WQL5" s="146"/>
      <c r="WQM5" s="146"/>
      <c r="WQN5" s="146"/>
      <c r="WQO5" s="146"/>
      <c r="WQP5" s="146"/>
      <c r="WQQ5" s="146"/>
      <c r="WQR5" s="146"/>
      <c r="WQS5" s="146"/>
      <c r="WQT5" s="146"/>
      <c r="WQU5" s="146"/>
      <c r="WQV5" s="146"/>
      <c r="WQW5" s="146"/>
      <c r="WQX5" s="146"/>
      <c r="WQY5" s="146"/>
      <c r="WQZ5" s="146"/>
      <c r="WRA5" s="146"/>
      <c r="WRB5" s="146"/>
      <c r="WRC5" s="146"/>
      <c r="WRD5" s="146"/>
      <c r="WRE5" s="146"/>
      <c r="WRF5" s="146"/>
      <c r="WRG5" s="146"/>
      <c r="WRH5" s="146"/>
      <c r="WRI5" s="146"/>
      <c r="WRJ5" s="146"/>
      <c r="WRK5" s="146"/>
      <c r="WRL5" s="146"/>
      <c r="WRM5" s="146"/>
      <c r="WRN5" s="146"/>
      <c r="WRO5" s="146"/>
      <c r="WRP5" s="146"/>
      <c r="WRQ5" s="146"/>
      <c r="WRR5" s="146"/>
      <c r="WRS5" s="146"/>
      <c r="WRT5" s="146"/>
      <c r="WRU5" s="146"/>
      <c r="WRV5" s="146"/>
      <c r="WRW5" s="146"/>
      <c r="WRX5" s="146"/>
      <c r="WRY5" s="146"/>
      <c r="WRZ5" s="146"/>
      <c r="WSA5" s="146"/>
      <c r="WSB5" s="146"/>
      <c r="WSC5" s="146"/>
      <c r="WSD5" s="146"/>
      <c r="WSE5" s="146"/>
      <c r="WSF5" s="146"/>
      <c r="WSG5" s="146"/>
      <c r="WSH5" s="146"/>
      <c r="WSI5" s="146"/>
      <c r="WSJ5" s="146"/>
      <c r="WSK5" s="146"/>
      <c r="WSL5" s="146"/>
      <c r="WSM5" s="146"/>
      <c r="WSN5" s="146"/>
      <c r="WSO5" s="146"/>
      <c r="WSP5" s="146"/>
      <c r="WSQ5" s="146"/>
      <c r="WSR5" s="146"/>
      <c r="WSS5" s="146"/>
      <c r="WST5" s="146"/>
      <c r="WSU5" s="146"/>
      <c r="WSV5" s="146"/>
      <c r="WSW5" s="146"/>
      <c r="WSX5" s="146"/>
      <c r="WSY5" s="146"/>
      <c r="WSZ5" s="146"/>
      <c r="WTA5" s="146"/>
      <c r="WTB5" s="146"/>
      <c r="WTC5" s="146"/>
      <c r="WTD5" s="146"/>
      <c r="WTE5" s="146"/>
      <c r="WTF5" s="146"/>
      <c r="WTG5" s="146"/>
      <c r="WTH5" s="146"/>
      <c r="WTI5" s="146"/>
      <c r="WTJ5" s="146"/>
      <c r="WTK5" s="146"/>
      <c r="WTL5" s="146"/>
      <c r="WTM5" s="146"/>
      <c r="WTN5" s="146"/>
      <c r="WTO5" s="146"/>
      <c r="WTP5" s="146"/>
      <c r="WTQ5" s="146"/>
      <c r="WTR5" s="146"/>
      <c r="WTS5" s="146"/>
      <c r="WTT5" s="146"/>
      <c r="WTU5" s="146"/>
      <c r="WTV5" s="146"/>
      <c r="WTW5" s="146"/>
      <c r="WTX5" s="146"/>
      <c r="WTY5" s="146"/>
      <c r="WTZ5" s="146"/>
      <c r="WUA5" s="146"/>
      <c r="WUB5" s="146"/>
      <c r="WUC5" s="146"/>
      <c r="WUD5" s="146"/>
      <c r="WUE5" s="146"/>
      <c r="WUF5" s="146"/>
      <c r="WUG5" s="146"/>
      <c r="WUH5" s="146"/>
      <c r="WUI5" s="146"/>
      <c r="WUJ5" s="146"/>
      <c r="WUK5" s="146"/>
      <c r="WUL5" s="146"/>
      <c r="WUM5" s="146"/>
      <c r="WUN5" s="146"/>
      <c r="WUO5" s="146"/>
      <c r="WUP5" s="146"/>
      <c r="WUQ5" s="146"/>
      <c r="WUR5" s="146"/>
      <c r="WUS5" s="146"/>
      <c r="WUT5" s="146"/>
      <c r="WUU5" s="146"/>
      <c r="WUV5" s="146"/>
      <c r="WUW5" s="146"/>
      <c r="WUX5" s="146"/>
      <c r="WUY5" s="146"/>
      <c r="WUZ5" s="146"/>
      <c r="WVA5" s="146"/>
      <c r="WVB5" s="146"/>
      <c r="WVC5" s="146"/>
      <c r="WVD5" s="146"/>
      <c r="WVE5" s="146"/>
      <c r="WVF5" s="146"/>
      <c r="WVG5" s="146"/>
      <c r="WVH5" s="146"/>
      <c r="WVI5" s="146"/>
      <c r="WVJ5" s="146"/>
      <c r="WVK5" s="146"/>
      <c r="WVL5" s="146"/>
      <c r="WVM5" s="146"/>
      <c r="WVN5" s="146"/>
      <c r="WVO5" s="146"/>
      <c r="WVP5" s="146"/>
      <c r="WVQ5" s="146"/>
      <c r="WVR5" s="146"/>
      <c r="WVS5" s="146"/>
      <c r="WVT5" s="146"/>
      <c r="WVU5" s="146"/>
      <c r="WVV5" s="146"/>
      <c r="WVW5" s="146"/>
      <c r="WVX5" s="146"/>
      <c r="WVY5" s="146"/>
      <c r="WVZ5" s="146"/>
      <c r="WWA5" s="146"/>
      <c r="WWB5" s="146"/>
      <c r="WWC5" s="146"/>
      <c r="WWD5" s="146"/>
      <c r="WWE5" s="146"/>
      <c r="WWF5" s="146"/>
      <c r="WWG5" s="146"/>
      <c r="WWH5" s="146"/>
      <c r="WWI5" s="146"/>
      <c r="WWJ5" s="146"/>
      <c r="WWK5" s="146"/>
      <c r="WWL5" s="146"/>
      <c r="WWM5" s="146"/>
      <c r="WWN5" s="146"/>
      <c r="WWO5" s="146"/>
      <c r="WWP5" s="146"/>
      <c r="WWQ5" s="146"/>
      <c r="WWR5" s="146"/>
      <c r="WWS5" s="146"/>
      <c r="WWT5" s="146"/>
      <c r="WWU5" s="146"/>
      <c r="WWV5" s="146"/>
      <c r="WWW5" s="146"/>
      <c r="WWX5" s="146"/>
      <c r="WWY5" s="146"/>
      <c r="WWZ5" s="146"/>
      <c r="WXA5" s="146"/>
      <c r="WXB5" s="146"/>
      <c r="WXC5" s="146"/>
      <c r="WXD5" s="146"/>
      <c r="WXE5" s="146"/>
      <c r="WXF5" s="146"/>
      <c r="WXG5" s="146"/>
      <c r="WXH5" s="146"/>
      <c r="WXI5" s="146"/>
      <c r="WXJ5" s="146"/>
      <c r="WXK5" s="146"/>
      <c r="WXL5" s="146"/>
      <c r="WXM5" s="146"/>
      <c r="WXN5" s="146"/>
      <c r="WXO5" s="146"/>
      <c r="WXP5" s="146"/>
      <c r="WXQ5" s="146"/>
      <c r="WXR5" s="146"/>
      <c r="WXS5" s="146"/>
      <c r="WXT5" s="146"/>
      <c r="WXU5" s="146"/>
      <c r="WXV5" s="146"/>
      <c r="WXW5" s="146"/>
      <c r="WXX5" s="146"/>
      <c r="WXY5" s="146"/>
      <c r="WXZ5" s="146"/>
      <c r="WYA5" s="146"/>
      <c r="WYB5" s="146"/>
      <c r="WYC5" s="146"/>
      <c r="WYD5" s="146"/>
      <c r="WYE5" s="146"/>
      <c r="WYF5" s="146"/>
      <c r="WYG5" s="146"/>
      <c r="WYH5" s="146"/>
      <c r="WYI5" s="146"/>
      <c r="WYJ5" s="146"/>
      <c r="WYK5" s="146"/>
      <c r="WYL5" s="146"/>
      <c r="WYM5" s="146"/>
      <c r="WYN5" s="146"/>
      <c r="WYO5" s="146"/>
      <c r="WYP5" s="146"/>
      <c r="WYQ5" s="146"/>
      <c r="WYR5" s="146"/>
      <c r="WYS5" s="146"/>
      <c r="WYT5" s="146"/>
      <c r="WYU5" s="146"/>
      <c r="WYV5" s="146"/>
      <c r="WYW5" s="146"/>
      <c r="WYX5" s="146"/>
      <c r="WYY5" s="146"/>
      <c r="WYZ5" s="146"/>
      <c r="WZA5" s="146"/>
      <c r="WZB5" s="146"/>
      <c r="WZC5" s="146"/>
      <c r="WZD5" s="146"/>
      <c r="WZE5" s="146"/>
      <c r="WZF5" s="146"/>
      <c r="WZG5" s="146"/>
      <c r="WZH5" s="146"/>
      <c r="WZI5" s="146"/>
      <c r="WZJ5" s="146"/>
      <c r="WZK5" s="146"/>
      <c r="WZL5" s="146"/>
      <c r="WZM5" s="146"/>
      <c r="WZN5" s="146"/>
      <c r="WZO5" s="146"/>
      <c r="WZP5" s="146"/>
      <c r="WZQ5" s="146"/>
      <c r="WZR5" s="146"/>
      <c r="WZS5" s="146"/>
      <c r="WZT5" s="146"/>
      <c r="WZU5" s="146"/>
      <c r="WZV5" s="146"/>
      <c r="WZW5" s="146"/>
      <c r="WZX5" s="146"/>
      <c r="WZY5" s="146"/>
      <c r="WZZ5" s="146"/>
      <c r="XAA5" s="146"/>
      <c r="XAB5" s="146"/>
      <c r="XAC5" s="146"/>
      <c r="XAD5" s="146"/>
      <c r="XAE5" s="146"/>
      <c r="XAF5" s="146"/>
      <c r="XAG5" s="146"/>
      <c r="XAH5" s="146"/>
      <c r="XAI5" s="146"/>
      <c r="XAJ5" s="146"/>
      <c r="XAK5" s="146"/>
      <c r="XAL5" s="146"/>
      <c r="XAM5" s="146"/>
      <c r="XAN5" s="146"/>
      <c r="XAO5" s="146"/>
      <c r="XAP5" s="146"/>
      <c r="XAQ5" s="146"/>
      <c r="XAR5" s="146"/>
      <c r="XAS5" s="146"/>
      <c r="XAT5" s="146"/>
      <c r="XAU5" s="146"/>
      <c r="XAV5" s="146"/>
      <c r="XAW5" s="146"/>
      <c r="XAX5" s="146"/>
      <c r="XAY5" s="146"/>
      <c r="XAZ5" s="146"/>
      <c r="XBA5" s="146"/>
      <c r="XBB5" s="146"/>
      <c r="XBC5" s="146"/>
      <c r="XBD5" s="146"/>
      <c r="XBE5" s="146"/>
      <c r="XBF5" s="146"/>
      <c r="XBG5" s="146"/>
      <c r="XBH5" s="146"/>
      <c r="XBI5" s="146"/>
      <c r="XBJ5" s="146"/>
      <c r="XBK5" s="146"/>
      <c r="XBL5" s="146"/>
      <c r="XBM5" s="146"/>
      <c r="XBN5" s="146"/>
      <c r="XBO5" s="146"/>
      <c r="XBP5" s="146"/>
      <c r="XBQ5" s="146"/>
      <c r="XBR5" s="146"/>
      <c r="XBS5" s="146"/>
      <c r="XBT5" s="146"/>
      <c r="XBU5" s="146"/>
      <c r="XBV5" s="146"/>
      <c r="XBW5" s="146"/>
      <c r="XBX5" s="146"/>
      <c r="XBY5" s="146"/>
      <c r="XBZ5" s="146"/>
      <c r="XCA5" s="146"/>
      <c r="XCB5" s="146"/>
      <c r="XCC5" s="146"/>
      <c r="XCD5" s="146"/>
      <c r="XCE5" s="146"/>
      <c r="XCF5" s="146"/>
      <c r="XCG5" s="146"/>
      <c r="XCH5" s="146"/>
      <c r="XCI5" s="146"/>
      <c r="XCJ5" s="146"/>
      <c r="XCK5" s="146"/>
      <c r="XCL5" s="146"/>
      <c r="XCM5" s="146"/>
      <c r="XCN5" s="146"/>
      <c r="XCO5" s="146"/>
      <c r="XCP5" s="146"/>
      <c r="XCQ5" s="146"/>
      <c r="XCR5" s="146"/>
      <c r="XCS5" s="146"/>
      <c r="XCT5" s="146"/>
      <c r="XCU5" s="146"/>
      <c r="XCV5" s="146"/>
      <c r="XCW5" s="146"/>
      <c r="XCX5" s="146"/>
      <c r="XCY5" s="146"/>
      <c r="XCZ5" s="146"/>
      <c r="XDA5" s="146"/>
      <c r="XDB5" s="146"/>
      <c r="XDC5" s="146"/>
      <c r="XDD5" s="146"/>
      <c r="XDE5" s="146"/>
      <c r="XDF5" s="146"/>
      <c r="XDG5" s="146"/>
      <c r="XDH5" s="146"/>
      <c r="XDI5" s="146"/>
      <c r="XDJ5" s="146"/>
      <c r="XDK5" s="146"/>
      <c r="XDL5" s="146"/>
      <c r="XDM5" s="146"/>
      <c r="XDN5" s="146"/>
      <c r="XDO5" s="146"/>
      <c r="XDP5" s="146"/>
      <c r="XDQ5" s="146"/>
      <c r="XDR5" s="146"/>
      <c r="XDS5" s="146"/>
      <c r="XDT5" s="146"/>
      <c r="XDU5" s="146"/>
      <c r="XDV5" s="146"/>
      <c r="XDW5" s="146"/>
      <c r="XDX5" s="146"/>
      <c r="XDY5" s="146"/>
      <c r="XDZ5" s="146"/>
      <c r="XEA5" s="146"/>
      <c r="XEB5" s="146"/>
      <c r="XEC5" s="146"/>
      <c r="XED5" s="146"/>
      <c r="XEE5" s="146"/>
      <c r="XEF5" s="146"/>
      <c r="XEG5" s="146"/>
      <c r="XEH5" s="146"/>
      <c r="XEI5" s="146"/>
      <c r="XEJ5" s="146"/>
      <c r="XEK5" s="146"/>
      <c r="XEL5" s="146"/>
      <c r="XEM5" s="146"/>
      <c r="XEN5" s="146"/>
      <c r="XEO5" s="146"/>
      <c r="XEP5" s="146"/>
      <c r="XEQ5" s="146"/>
      <c r="XER5" s="146"/>
      <c r="XES5" s="146"/>
      <c r="XET5" s="146"/>
      <c r="XEU5" s="146"/>
      <c r="XEV5" s="146"/>
      <c r="XEW5" s="146"/>
      <c r="XEX5" s="146"/>
      <c r="XEY5" s="146"/>
      <c r="XEZ5" s="146"/>
    </row>
    <row r="6" spans="1:16380" s="145" customFormat="1" ht="16">
      <c r="B6" s="388"/>
      <c r="C6" s="388"/>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row>
    <row r="7" spans="1:16380" s="148" customFormat="1" ht="16">
      <c r="B7" s="140" t="s">
        <v>261</v>
      </c>
      <c r="C7" s="140"/>
      <c r="D7" s="147"/>
      <c r="E7" s="147"/>
      <c r="F7" s="147"/>
      <c r="G7" s="147"/>
      <c r="H7" s="147"/>
      <c r="I7" s="147"/>
      <c r="J7" s="147"/>
      <c r="K7" s="147"/>
      <c r="L7" s="147"/>
      <c r="M7" s="147"/>
      <c r="N7" s="147"/>
      <c r="O7" s="147"/>
      <c r="P7" s="147"/>
      <c r="Q7" s="147"/>
      <c r="R7" s="147"/>
      <c r="S7" s="143"/>
      <c r="T7" s="1385" t="s">
        <v>461</v>
      </c>
      <c r="U7" s="1386"/>
      <c r="V7" s="1386"/>
      <c r="W7" s="1386"/>
      <c r="X7" s="1387"/>
      <c r="Y7" s="1388" t="s">
        <v>462</v>
      </c>
      <c r="Z7" s="1389"/>
      <c r="AA7" s="1389"/>
      <c r="AB7" s="1389"/>
      <c r="AC7" s="1390"/>
      <c r="AD7" s="147"/>
      <c r="AE7" s="147"/>
      <c r="AF7" s="147"/>
      <c r="AG7" s="147"/>
      <c r="AH7" s="147"/>
      <c r="AI7" s="147"/>
      <c r="AJ7" s="147"/>
      <c r="AK7" s="147"/>
      <c r="AL7" s="147"/>
      <c r="AM7" s="147"/>
    </row>
    <row r="8" spans="1:16380">
      <c r="B8" s="311"/>
      <c r="C8" s="311"/>
      <c r="D8" s="150"/>
      <c r="E8" s="150"/>
      <c r="T8" s="786" t="str">
        <f>IF(T9&lt;='RFPR cover'!$C$9,"Actuals","Forecast")</f>
        <v>Actuals</v>
      </c>
      <c r="U8" s="980" t="str">
        <f>IF(U9&lt;='RFPR cover'!$C$9,"Actuals","Forecast")</f>
        <v>Forecast</v>
      </c>
      <c r="V8" s="980" t="str">
        <f>IF(V9&lt;='RFPR cover'!$C$9,"Actuals","Forecast")</f>
        <v>Forecast</v>
      </c>
      <c r="W8" s="980" t="str">
        <f>IF(W9&lt;='RFPR cover'!$C$9,"Actuals","Forecast")</f>
        <v>Forecast</v>
      </c>
      <c r="X8" s="980" t="str">
        <f>IF(X9&lt;='RFPR cover'!$C$9,"Actuals","Forecast")</f>
        <v>Forecast</v>
      </c>
      <c r="Y8" s="980" t="str">
        <f>IF(Y9&lt;='RFPR cover'!$C$9,"Actuals","Forecast")</f>
        <v>Forecast</v>
      </c>
      <c r="Z8" s="980" t="str">
        <f>IF(Z9&lt;='RFPR cover'!$C$9,"Actuals","Forecast")</f>
        <v>Forecast</v>
      </c>
      <c r="AA8" s="980" t="str">
        <f>IF(AA9&lt;='RFPR cover'!$C$9,"Actuals","Forecast")</f>
        <v>Forecast</v>
      </c>
      <c r="AB8" s="382" t="str">
        <f>IF(AB9&lt;='RFPR cover'!$C$9,"Actuals","Forecast")</f>
        <v>Forecast</v>
      </c>
      <c r="AC8" s="787" t="str">
        <f>IF(AC9&lt;='RFPR cover'!$C$9,"Actuals","Forecast")</f>
        <v>Forecast</v>
      </c>
    </row>
    <row r="9" spans="1:16380">
      <c r="D9" s="150"/>
      <c r="E9" s="150"/>
      <c r="S9" s="271" t="s">
        <v>463</v>
      </c>
      <c r="T9" s="63">
        <f>'RFPR cover'!$C$6</f>
        <v>2022</v>
      </c>
      <c r="U9" s="64">
        <f>T9+1</f>
        <v>2023</v>
      </c>
      <c r="V9" s="64">
        <f t="shared" ref="V9:AC9" si="0">U9+1</f>
        <v>2024</v>
      </c>
      <c r="W9" s="64">
        <f t="shared" si="0"/>
        <v>2025</v>
      </c>
      <c r="X9" s="64">
        <f t="shared" si="0"/>
        <v>2026</v>
      </c>
      <c r="Y9" s="64">
        <f t="shared" si="0"/>
        <v>2027</v>
      </c>
      <c r="Z9" s="64">
        <f t="shared" si="0"/>
        <v>2028</v>
      </c>
      <c r="AA9" s="378">
        <f t="shared" si="0"/>
        <v>2029</v>
      </c>
      <c r="AB9" s="383">
        <f t="shared" si="0"/>
        <v>2030</v>
      </c>
      <c r="AC9" s="88">
        <f t="shared" si="0"/>
        <v>2031</v>
      </c>
    </row>
    <row r="10" spans="1:16380">
      <c r="AB10" s="283"/>
    </row>
    <row r="11" spans="1:16380">
      <c r="B11" s="312" t="s">
        <v>910</v>
      </c>
      <c r="C11" s="312"/>
      <c r="D11" s="150" t="s">
        <v>911</v>
      </c>
      <c r="E11" s="150"/>
      <c r="T11" s="166"/>
      <c r="U11" s="166"/>
      <c r="V11" s="166"/>
      <c r="W11" s="166"/>
      <c r="X11" s="166"/>
      <c r="Y11" s="166"/>
      <c r="Z11" s="166"/>
      <c r="AA11" s="166"/>
      <c r="AB11" s="384"/>
      <c r="AC11" s="166"/>
    </row>
    <row r="12" spans="1:16380" outlineLevel="1">
      <c r="F12" s="157"/>
      <c r="G12" s="157"/>
      <c r="H12" s="157"/>
      <c r="I12" s="157"/>
      <c r="T12" s="196" t="s">
        <v>469</v>
      </c>
      <c r="U12" s="197" t="s">
        <v>469</v>
      </c>
      <c r="V12" s="197" t="s">
        <v>469</v>
      </c>
      <c r="W12" s="197" t="s">
        <v>469</v>
      </c>
      <c r="X12" s="197" t="s">
        <v>469</v>
      </c>
      <c r="Y12" s="197" t="s">
        <v>469</v>
      </c>
      <c r="Z12" s="197" t="s">
        <v>469</v>
      </c>
      <c r="AA12" s="278" t="s">
        <v>469</v>
      </c>
      <c r="AB12" s="296" t="s">
        <v>469</v>
      </c>
      <c r="AC12" s="197" t="s">
        <v>469</v>
      </c>
    </row>
    <row r="13" spans="1:16380" outlineLevel="1">
      <c r="F13" s="151" t="s">
        <v>912</v>
      </c>
      <c r="T13" s="491">
        <v>0</v>
      </c>
      <c r="U13" s="491">
        <v>0</v>
      </c>
      <c r="V13" s="491">
        <v>0</v>
      </c>
      <c r="W13" s="491">
        <v>0</v>
      </c>
      <c r="X13" s="491">
        <v>0</v>
      </c>
      <c r="Y13" s="491">
        <v>0</v>
      </c>
      <c r="Z13" s="491">
        <v>0</v>
      </c>
      <c r="AA13" s="491">
        <v>0</v>
      </c>
      <c r="AB13" s="491">
        <v>0</v>
      </c>
      <c r="AC13" s="491">
        <v>0</v>
      </c>
    </row>
    <row r="14" spans="1:16380" outlineLevel="1">
      <c r="F14" s="151" t="s">
        <v>913</v>
      </c>
      <c r="T14" s="491">
        <v>0</v>
      </c>
      <c r="U14" s="491">
        <v>0</v>
      </c>
      <c r="V14" s="491">
        <v>0</v>
      </c>
      <c r="W14" s="491">
        <v>0</v>
      </c>
      <c r="X14" s="491">
        <v>0</v>
      </c>
      <c r="Y14" s="491">
        <v>0</v>
      </c>
      <c r="Z14" s="491">
        <v>0</v>
      </c>
      <c r="AA14" s="491">
        <v>0</v>
      </c>
      <c r="AB14" s="491">
        <v>0</v>
      </c>
      <c r="AC14" s="491">
        <v>0</v>
      </c>
    </row>
    <row r="15" spans="1:16380" outlineLevel="1">
      <c r="F15" s="151" t="s">
        <v>914</v>
      </c>
      <c r="T15" s="491">
        <v>0</v>
      </c>
      <c r="U15" s="491">
        <v>0</v>
      </c>
      <c r="V15" s="491">
        <v>0</v>
      </c>
      <c r="W15" s="491">
        <v>0</v>
      </c>
      <c r="X15" s="491">
        <v>0</v>
      </c>
      <c r="Y15" s="491">
        <v>0</v>
      </c>
      <c r="Z15" s="491">
        <v>0</v>
      </c>
      <c r="AA15" s="491">
        <v>0</v>
      </c>
      <c r="AB15" s="491">
        <v>0</v>
      </c>
      <c r="AC15" s="491">
        <v>0</v>
      </c>
    </row>
    <row r="16" spans="1:16380" outlineLevel="1">
      <c r="F16" s="151" t="s">
        <v>915</v>
      </c>
      <c r="T16" s="491">
        <v>2.2739649399999999</v>
      </c>
      <c r="U16" s="491">
        <v>0</v>
      </c>
      <c r="V16" s="491">
        <v>0</v>
      </c>
      <c r="W16" s="491">
        <v>0</v>
      </c>
      <c r="X16" s="491">
        <v>0</v>
      </c>
      <c r="Y16" s="491">
        <v>0</v>
      </c>
      <c r="Z16" s="491">
        <v>0</v>
      </c>
      <c r="AA16" s="491">
        <v>0</v>
      </c>
      <c r="AB16" s="491">
        <v>0</v>
      </c>
      <c r="AC16" s="491">
        <v>0</v>
      </c>
    </row>
    <row r="17" spans="2:29" outlineLevel="1">
      <c r="F17" s="151" t="s">
        <v>916</v>
      </c>
      <c r="T17" s="491">
        <v>0</v>
      </c>
      <c r="U17" s="491">
        <v>0</v>
      </c>
      <c r="V17" s="491">
        <v>0</v>
      </c>
      <c r="W17" s="491">
        <v>0</v>
      </c>
      <c r="X17" s="491">
        <v>0</v>
      </c>
      <c r="Y17" s="491">
        <v>0</v>
      </c>
      <c r="Z17" s="491">
        <v>0</v>
      </c>
      <c r="AA17" s="491">
        <v>0</v>
      </c>
      <c r="AB17" s="491">
        <v>0</v>
      </c>
      <c r="AC17" s="491">
        <v>0</v>
      </c>
    </row>
    <row r="18" spans="2:29" outlineLevel="1">
      <c r="F18" s="151" t="s">
        <v>917</v>
      </c>
      <c r="T18" s="491">
        <v>-513</v>
      </c>
      <c r="U18" s="491">
        <v>-513</v>
      </c>
      <c r="V18" s="491">
        <v>-513</v>
      </c>
      <c r="W18" s="491">
        <v>-513</v>
      </c>
      <c r="X18" s="491">
        <v>-513</v>
      </c>
      <c r="Y18" s="491">
        <v>-513</v>
      </c>
      <c r="Z18" s="491">
        <v>-513</v>
      </c>
      <c r="AA18" s="491">
        <v>-513</v>
      </c>
      <c r="AB18" s="491">
        <v>-513</v>
      </c>
      <c r="AC18" s="491">
        <v>-513</v>
      </c>
    </row>
    <row r="19" spans="2:29" ht="12.75" customHeight="1" outlineLevel="1">
      <c r="F19" s="26" t="s">
        <v>649</v>
      </c>
      <c r="G19" s="167"/>
      <c r="H19" s="168"/>
      <c r="I19" s="168"/>
      <c r="J19" s="168"/>
      <c r="K19" s="168"/>
      <c r="L19" s="168"/>
      <c r="M19" s="168"/>
      <c r="N19" s="168"/>
      <c r="O19" s="168"/>
      <c r="Q19" s="168"/>
      <c r="R19" s="168"/>
      <c r="S19" s="168"/>
      <c r="T19" s="491">
        <v>0</v>
      </c>
      <c r="U19" s="491">
        <v>0</v>
      </c>
      <c r="V19" s="491">
        <v>0</v>
      </c>
      <c r="W19" s="491">
        <v>0</v>
      </c>
      <c r="X19" s="491">
        <v>0</v>
      </c>
      <c r="Y19" s="491">
        <v>0</v>
      </c>
      <c r="Z19" s="491">
        <v>0</v>
      </c>
      <c r="AA19" s="491">
        <v>0</v>
      </c>
      <c r="AB19" s="491">
        <v>0</v>
      </c>
      <c r="AC19" s="491">
        <v>0</v>
      </c>
    </row>
    <row r="20" spans="2:29">
      <c r="S20" s="985" t="s">
        <v>918</v>
      </c>
      <c r="T20" s="487">
        <f>SUM(T13:T19)</f>
        <v>-510.72603506000002</v>
      </c>
      <c r="U20" s="488">
        <f t="shared" ref="U20:AC20" si="1">SUM(U13:U19)</f>
        <v>-513</v>
      </c>
      <c r="V20" s="488">
        <f t="shared" si="1"/>
        <v>-513</v>
      </c>
      <c r="W20" s="488">
        <f t="shared" si="1"/>
        <v>-513</v>
      </c>
      <c r="X20" s="488">
        <f t="shared" si="1"/>
        <v>-513</v>
      </c>
      <c r="Y20" s="488">
        <f t="shared" si="1"/>
        <v>-513</v>
      </c>
      <c r="Z20" s="488">
        <f t="shared" si="1"/>
        <v>-513</v>
      </c>
      <c r="AA20" s="489">
        <f t="shared" si="1"/>
        <v>-513</v>
      </c>
      <c r="AB20" s="490">
        <f t="shared" si="1"/>
        <v>-513</v>
      </c>
      <c r="AC20" s="488">
        <f t="shared" si="1"/>
        <v>-513</v>
      </c>
    </row>
    <row r="21" spans="2:29">
      <c r="B21" s="312" t="s">
        <v>464</v>
      </c>
      <c r="C21" s="312"/>
      <c r="D21" s="150" t="s">
        <v>919</v>
      </c>
      <c r="E21" s="150"/>
      <c r="F21" s="150"/>
      <c r="G21" s="150"/>
      <c r="H21" s="150"/>
      <c r="I21" s="150"/>
      <c r="AB21" s="283"/>
    </row>
    <row r="22" spans="2:29" outlineLevel="1">
      <c r="B22" s="312"/>
      <c r="C22" s="312"/>
      <c r="F22" s="150" t="s">
        <v>466</v>
      </c>
      <c r="G22" s="150"/>
      <c r="H22" s="150"/>
      <c r="I22" s="150"/>
      <c r="AB22" s="283"/>
    </row>
    <row r="23" spans="2:29" s="510" customFormat="1" ht="54.75" customHeight="1" outlineLevel="1">
      <c r="B23" s="788"/>
      <c r="C23" s="1183" t="s">
        <v>920</v>
      </c>
      <c r="D23" s="777" t="s">
        <v>599</v>
      </c>
      <c r="E23" s="777" t="s">
        <v>600</v>
      </c>
      <c r="F23" s="777" t="s">
        <v>575</v>
      </c>
      <c r="G23" s="777" t="s">
        <v>921</v>
      </c>
      <c r="H23" s="789" t="s">
        <v>922</v>
      </c>
      <c r="I23" s="789" t="s">
        <v>129</v>
      </c>
      <c r="J23" s="789" t="s">
        <v>923</v>
      </c>
      <c r="K23" s="789" t="s">
        <v>924</v>
      </c>
      <c r="L23" s="789" t="s">
        <v>925</v>
      </c>
      <c r="M23" s="789" t="s">
        <v>926</v>
      </c>
      <c r="N23" s="789" t="s">
        <v>927</v>
      </c>
      <c r="O23" s="789" t="s">
        <v>928</v>
      </c>
      <c r="P23" s="790" t="s">
        <v>150</v>
      </c>
      <c r="Q23" s="789" t="s">
        <v>929</v>
      </c>
      <c r="R23" s="789" t="s">
        <v>930</v>
      </c>
      <c r="S23" s="789" t="s">
        <v>931</v>
      </c>
      <c r="AB23" s="511"/>
    </row>
    <row r="24" spans="2:29" ht="40.5" outlineLevel="1">
      <c r="B24" s="345" t="s">
        <v>468</v>
      </c>
      <c r="C24" s="570"/>
      <c r="D24" s="512" t="s">
        <v>602</v>
      </c>
      <c r="E24" s="512" t="s">
        <v>602</v>
      </c>
      <c r="F24" s="509"/>
      <c r="G24" s="512"/>
      <c r="H24" s="512"/>
      <c r="I24" s="513"/>
      <c r="J24" s="512" t="s">
        <v>225</v>
      </c>
      <c r="K24" s="514" t="s">
        <v>932</v>
      </c>
      <c r="L24" s="514" t="s">
        <v>469</v>
      </c>
      <c r="M24" s="514" t="s">
        <v>469</v>
      </c>
      <c r="N24" s="514" t="s">
        <v>225</v>
      </c>
      <c r="O24" s="514" t="s">
        <v>933</v>
      </c>
      <c r="P24" s="515"/>
      <c r="Q24" s="514"/>
      <c r="R24" s="514" t="s">
        <v>469</v>
      </c>
      <c r="S24" s="514"/>
      <c r="T24" s="196" t="s">
        <v>469</v>
      </c>
      <c r="U24" s="197" t="s">
        <v>469</v>
      </c>
      <c r="V24" s="197" t="s">
        <v>469</v>
      </c>
      <c r="W24" s="197" t="s">
        <v>469</v>
      </c>
      <c r="X24" s="197" t="s">
        <v>469</v>
      </c>
      <c r="Y24" s="197" t="s">
        <v>469</v>
      </c>
      <c r="Z24" s="197" t="s">
        <v>469</v>
      </c>
      <c r="AA24" s="278" t="s">
        <v>469</v>
      </c>
      <c r="AB24" s="296" t="s">
        <v>469</v>
      </c>
      <c r="AC24" s="197" t="s">
        <v>469</v>
      </c>
    </row>
    <row r="25" spans="2:29" outlineLevel="1">
      <c r="B25" s="314" t="s">
        <v>470</v>
      </c>
      <c r="C25" s="315" t="s">
        <v>934</v>
      </c>
      <c r="D25" s="315">
        <v>41179</v>
      </c>
      <c r="E25" s="315">
        <v>48484</v>
      </c>
      <c r="F25" s="1197" t="s">
        <v>935</v>
      </c>
      <c r="G25" s="1197" t="s">
        <v>936</v>
      </c>
      <c r="H25" s="1197" t="s">
        <v>144</v>
      </c>
      <c r="I25" s="1197" t="s">
        <v>937</v>
      </c>
      <c r="J25" s="1196">
        <v>3.3500000000000002E-2</v>
      </c>
      <c r="K25" s="1197" t="s">
        <v>139</v>
      </c>
      <c r="L25" s="651">
        <v>80.45</v>
      </c>
      <c r="M25" s="1197">
        <v>0</v>
      </c>
      <c r="N25" s="316">
        <v>100</v>
      </c>
      <c r="O25" s="315" t="s">
        <v>938</v>
      </c>
      <c r="P25" s="1197">
        <v>0</v>
      </c>
      <c r="Q25" s="1212">
        <v>0</v>
      </c>
      <c r="R25" s="651">
        <v>80.45</v>
      </c>
      <c r="S25" s="1212">
        <v>3.35</v>
      </c>
      <c r="T25" s="651">
        <v>87.7</v>
      </c>
      <c r="U25" s="651">
        <v>87.7</v>
      </c>
      <c r="V25" s="651">
        <v>87.7</v>
      </c>
      <c r="W25" s="651">
        <v>87.7</v>
      </c>
      <c r="X25" s="651">
        <v>87.7</v>
      </c>
      <c r="Y25" s="651">
        <v>87.7</v>
      </c>
      <c r="Z25" s="651">
        <v>87.7</v>
      </c>
      <c r="AA25" s="651">
        <v>87.7</v>
      </c>
      <c r="AB25" s="651">
        <v>87.7</v>
      </c>
      <c r="AC25" s="651">
        <v>87.7</v>
      </c>
    </row>
    <row r="26" spans="2:29" outlineLevel="1">
      <c r="B26" s="314" t="s">
        <v>471</v>
      </c>
      <c r="C26" s="315" t="s">
        <v>939</v>
      </c>
      <c r="D26" s="315">
        <v>41304</v>
      </c>
      <c r="E26" s="315">
        <v>49339</v>
      </c>
      <c r="F26" s="1197" t="s">
        <v>940</v>
      </c>
      <c r="G26" s="1197" t="s">
        <v>936</v>
      </c>
      <c r="H26" s="1197" t="s">
        <v>144</v>
      </c>
      <c r="I26" s="1197" t="s">
        <v>937</v>
      </c>
      <c r="J26" s="1196">
        <v>3.2099999999999997E-2</v>
      </c>
      <c r="K26" s="1197" t="s">
        <v>139</v>
      </c>
      <c r="L26" s="651">
        <v>84</v>
      </c>
      <c r="M26" s="1197">
        <v>0</v>
      </c>
      <c r="N26" s="316">
        <v>100</v>
      </c>
      <c r="O26" s="315" t="s">
        <v>941</v>
      </c>
      <c r="P26" s="1197">
        <v>0</v>
      </c>
      <c r="Q26" s="1212">
        <v>0</v>
      </c>
      <c r="R26" s="651">
        <v>84</v>
      </c>
      <c r="S26" s="1212">
        <v>3.21</v>
      </c>
      <c r="T26" s="651">
        <v>87</v>
      </c>
      <c r="U26" s="651">
        <v>87</v>
      </c>
      <c r="V26" s="651">
        <v>87</v>
      </c>
      <c r="W26" s="651">
        <v>87</v>
      </c>
      <c r="X26" s="651">
        <v>87</v>
      </c>
      <c r="Y26" s="651">
        <v>87</v>
      </c>
      <c r="Z26" s="651">
        <v>87</v>
      </c>
      <c r="AA26" s="651">
        <v>87</v>
      </c>
      <c r="AB26" s="651">
        <v>87</v>
      </c>
      <c r="AC26" s="651">
        <v>87</v>
      </c>
    </row>
    <row r="27" spans="2:29" outlineLevel="1">
      <c r="B27" s="314" t="s">
        <v>472</v>
      </c>
      <c r="C27" s="315" t="s">
        <v>942</v>
      </c>
      <c r="D27" s="315">
        <v>36193</v>
      </c>
      <c r="E27" s="315">
        <v>45324</v>
      </c>
      <c r="F27" s="1197" t="s">
        <v>943</v>
      </c>
      <c r="G27" s="1197" t="s">
        <v>936</v>
      </c>
      <c r="H27" s="1197" t="s">
        <v>144</v>
      </c>
      <c r="I27" s="1197" t="s">
        <v>937</v>
      </c>
      <c r="J27" s="1196">
        <v>5.8749999999999997E-2</v>
      </c>
      <c r="K27" s="1197" t="s">
        <v>138</v>
      </c>
      <c r="L27" s="651">
        <v>444.5</v>
      </c>
      <c r="M27" s="1197">
        <v>0</v>
      </c>
      <c r="N27" s="316">
        <v>0</v>
      </c>
      <c r="O27" s="315" t="s">
        <v>937</v>
      </c>
      <c r="P27" s="1197">
        <v>0</v>
      </c>
      <c r="Q27" s="1212">
        <v>0</v>
      </c>
      <c r="R27" s="651">
        <v>444.5</v>
      </c>
      <c r="S27" s="1212">
        <v>5.93</v>
      </c>
      <c r="T27" s="651">
        <v>149.30000000000001</v>
      </c>
      <c r="U27" s="651">
        <v>149.30000000000001</v>
      </c>
      <c r="V27" s="651">
        <v>0</v>
      </c>
      <c r="W27" s="651">
        <v>0</v>
      </c>
      <c r="X27" s="651">
        <v>0</v>
      </c>
      <c r="Y27" s="651">
        <v>0</v>
      </c>
      <c r="Z27" s="651">
        <v>0</v>
      </c>
      <c r="AA27" s="651">
        <v>0</v>
      </c>
      <c r="AB27" s="651">
        <v>0</v>
      </c>
      <c r="AC27" s="651">
        <v>0</v>
      </c>
    </row>
    <row r="28" spans="2:29" outlineLevel="1">
      <c r="B28" s="314" t="s">
        <v>473</v>
      </c>
      <c r="C28" s="315" t="s">
        <v>944</v>
      </c>
      <c r="D28" s="315">
        <v>37099</v>
      </c>
      <c r="E28" s="315">
        <v>46961</v>
      </c>
      <c r="F28" s="1197" t="s">
        <v>945</v>
      </c>
      <c r="G28" s="1197" t="s">
        <v>936</v>
      </c>
      <c r="H28" s="1197" t="s">
        <v>144</v>
      </c>
      <c r="I28" s="1197" t="s">
        <v>937</v>
      </c>
      <c r="J28" s="1196">
        <v>6.5000000000000002E-2</v>
      </c>
      <c r="K28" s="1197" t="s">
        <v>138</v>
      </c>
      <c r="L28" s="651">
        <v>297.81900000000002</v>
      </c>
      <c r="M28" s="1197">
        <v>0</v>
      </c>
      <c r="N28" s="316">
        <v>0</v>
      </c>
      <c r="O28" s="315" t="s">
        <v>937</v>
      </c>
      <c r="P28" s="1197">
        <v>0</v>
      </c>
      <c r="Q28" s="1212">
        <v>0</v>
      </c>
      <c r="R28" s="651">
        <v>297.81900000000002</v>
      </c>
      <c r="S28" s="1212">
        <v>6.5</v>
      </c>
      <c r="T28" s="651">
        <v>56.6</v>
      </c>
      <c r="U28" s="651">
        <v>56.6</v>
      </c>
      <c r="V28" s="651">
        <v>56.6</v>
      </c>
      <c r="W28" s="651">
        <v>56.6</v>
      </c>
      <c r="X28" s="651">
        <v>56.6</v>
      </c>
      <c r="Y28" s="651">
        <v>56.6</v>
      </c>
      <c r="Z28" s="651">
        <v>56.6</v>
      </c>
      <c r="AA28" s="651">
        <v>0</v>
      </c>
      <c r="AB28" s="651">
        <v>0</v>
      </c>
      <c r="AC28" s="651">
        <v>0</v>
      </c>
    </row>
    <row r="29" spans="2:29" outlineLevel="1">
      <c r="B29" s="314" t="s">
        <v>474</v>
      </c>
      <c r="C29" s="315" t="s">
        <v>946</v>
      </c>
      <c r="D29" s="315">
        <v>38412</v>
      </c>
      <c r="E29" s="315">
        <v>49369</v>
      </c>
      <c r="F29" s="1197" t="s">
        <v>947</v>
      </c>
      <c r="G29" s="1197" t="s">
        <v>936</v>
      </c>
      <c r="H29" s="1197" t="s">
        <v>144</v>
      </c>
      <c r="I29" s="1197" t="s">
        <v>937</v>
      </c>
      <c r="J29" s="1196">
        <v>0.05</v>
      </c>
      <c r="K29" s="1197" t="s">
        <v>138</v>
      </c>
      <c r="L29" s="651">
        <v>75</v>
      </c>
      <c r="M29" s="1197">
        <v>0</v>
      </c>
      <c r="N29" s="316">
        <v>0</v>
      </c>
      <c r="O29" s="315" t="s">
        <v>937</v>
      </c>
      <c r="P29" s="1197">
        <v>0</v>
      </c>
      <c r="Q29" s="1212">
        <v>0</v>
      </c>
      <c r="R29" s="651">
        <v>75</v>
      </c>
      <c r="S29" s="1212">
        <v>5.0999999999999996</v>
      </c>
      <c r="T29" s="651">
        <v>31.2</v>
      </c>
      <c r="U29" s="651">
        <v>31.2</v>
      </c>
      <c r="V29" s="651">
        <v>31.2</v>
      </c>
      <c r="W29" s="651">
        <v>31.2</v>
      </c>
      <c r="X29" s="651">
        <v>31.2</v>
      </c>
      <c r="Y29" s="651">
        <v>31.2</v>
      </c>
      <c r="Z29" s="651">
        <v>31.2</v>
      </c>
      <c r="AA29" s="651">
        <v>31.2</v>
      </c>
      <c r="AB29" s="651">
        <v>31.2</v>
      </c>
      <c r="AC29" s="651">
        <v>31.2</v>
      </c>
    </row>
    <row r="30" spans="2:29" outlineLevel="1">
      <c r="B30" s="314" t="s">
        <v>475</v>
      </c>
      <c r="C30" s="315" t="s">
        <v>948</v>
      </c>
      <c r="D30" s="315">
        <v>39826</v>
      </c>
      <c r="E30" s="315">
        <v>47861</v>
      </c>
      <c r="F30" s="1197" t="s">
        <v>949</v>
      </c>
      <c r="G30" s="1197" t="s">
        <v>936</v>
      </c>
      <c r="H30" s="1197" t="s">
        <v>144</v>
      </c>
      <c r="I30" s="1197" t="s">
        <v>937</v>
      </c>
      <c r="J30" s="1196">
        <v>7.3749999999999996E-2</v>
      </c>
      <c r="K30" s="1197" t="s">
        <v>138</v>
      </c>
      <c r="L30" s="651">
        <v>350</v>
      </c>
      <c r="M30" s="1197">
        <v>0</v>
      </c>
      <c r="N30" s="316">
        <v>0</v>
      </c>
      <c r="O30" s="315" t="s">
        <v>937</v>
      </c>
      <c r="P30" s="1197">
        <v>0</v>
      </c>
      <c r="Q30" s="1212">
        <v>0</v>
      </c>
      <c r="R30" s="651">
        <v>350</v>
      </c>
      <c r="S30" s="1212">
        <v>7.5</v>
      </c>
      <c r="T30" s="651">
        <v>90.6</v>
      </c>
      <c r="U30" s="651">
        <v>90.6</v>
      </c>
      <c r="V30" s="651">
        <v>90.6</v>
      </c>
      <c r="W30" s="651">
        <v>90.6</v>
      </c>
      <c r="X30" s="651">
        <v>90.6</v>
      </c>
      <c r="Y30" s="651">
        <v>90.6</v>
      </c>
      <c r="Z30" s="651">
        <v>90.6</v>
      </c>
      <c r="AA30" s="651">
        <v>90.6</v>
      </c>
      <c r="AB30" s="651">
        <v>90.6</v>
      </c>
      <c r="AC30" s="651">
        <v>0</v>
      </c>
    </row>
    <row r="31" spans="2:29" outlineLevel="1">
      <c r="B31" s="314" t="s">
        <v>476</v>
      </c>
      <c r="C31" s="315" t="s">
        <v>950</v>
      </c>
      <c r="D31" s="315">
        <v>41068</v>
      </c>
      <c r="E31" s="315">
        <v>46546</v>
      </c>
      <c r="F31" s="1197" t="s">
        <v>951</v>
      </c>
      <c r="G31" s="1197" t="s">
        <v>936</v>
      </c>
      <c r="H31" s="1197" t="s">
        <v>144</v>
      </c>
      <c r="I31" s="1197" t="s">
        <v>937</v>
      </c>
      <c r="J31" s="1196">
        <v>0.04</v>
      </c>
      <c r="K31" s="1197" t="s">
        <v>138</v>
      </c>
      <c r="L31" s="651">
        <v>400</v>
      </c>
      <c r="M31" s="1197">
        <v>0</v>
      </c>
      <c r="N31" s="316">
        <v>0</v>
      </c>
      <c r="O31" s="315" t="s">
        <v>937</v>
      </c>
      <c r="P31" s="1197">
        <v>0</v>
      </c>
      <c r="Q31" s="1212">
        <v>0</v>
      </c>
      <c r="R31" s="651">
        <v>400</v>
      </c>
      <c r="S31" s="1212">
        <v>4.05</v>
      </c>
      <c r="T31" s="651">
        <v>129.9</v>
      </c>
      <c r="U31" s="651">
        <v>129.9</v>
      </c>
      <c r="V31" s="651">
        <v>129.9</v>
      </c>
      <c r="W31" s="651">
        <v>129.9</v>
      </c>
      <c r="X31" s="651">
        <v>129.9</v>
      </c>
      <c r="Y31" s="651">
        <v>129.9</v>
      </c>
      <c r="Z31" s="651">
        <v>0</v>
      </c>
      <c r="AA31" s="651">
        <v>0</v>
      </c>
      <c r="AB31" s="651">
        <v>0</v>
      </c>
      <c r="AC31" s="651">
        <v>0</v>
      </c>
    </row>
    <row r="32" spans="2:29" outlineLevel="1">
      <c r="B32" s="314" t="s">
        <v>477</v>
      </c>
      <c r="C32" s="315" t="s">
        <v>950</v>
      </c>
      <c r="D32" s="315">
        <v>41068</v>
      </c>
      <c r="E32" s="315">
        <v>46546</v>
      </c>
      <c r="F32" s="1197" t="s">
        <v>952</v>
      </c>
      <c r="G32" s="1197" t="s">
        <v>936</v>
      </c>
      <c r="H32" s="1197" t="s">
        <v>144</v>
      </c>
      <c r="I32" s="1197" t="s">
        <v>937</v>
      </c>
      <c r="J32" s="1196">
        <v>0.04</v>
      </c>
      <c r="K32" s="1197" t="s">
        <v>138</v>
      </c>
      <c r="L32" s="651">
        <v>75</v>
      </c>
      <c r="M32" s="1197">
        <v>0</v>
      </c>
      <c r="N32" s="316">
        <v>0</v>
      </c>
      <c r="O32" s="315" t="s">
        <v>937</v>
      </c>
      <c r="P32" s="1197">
        <v>0</v>
      </c>
      <c r="Q32" s="1212">
        <v>0</v>
      </c>
      <c r="R32" s="651">
        <v>75</v>
      </c>
      <c r="S32" s="1212">
        <v>3.76</v>
      </c>
      <c r="T32" s="651">
        <v>76.3</v>
      </c>
      <c r="U32" s="651">
        <v>76.3</v>
      </c>
      <c r="V32" s="651">
        <v>76.3</v>
      </c>
      <c r="W32" s="651">
        <v>76.3</v>
      </c>
      <c r="X32" s="651">
        <v>76.3</v>
      </c>
      <c r="Y32" s="651">
        <v>76.3</v>
      </c>
      <c r="Z32" s="651">
        <v>0</v>
      </c>
      <c r="AA32" s="651">
        <v>0</v>
      </c>
      <c r="AB32" s="651">
        <v>0</v>
      </c>
      <c r="AC32" s="651">
        <v>0</v>
      </c>
    </row>
    <row r="33" spans="2:29" outlineLevel="1">
      <c r="B33" s="314" t="s">
        <v>478</v>
      </c>
      <c r="C33" s="315" t="s">
        <v>950</v>
      </c>
      <c r="D33" s="315">
        <v>41068</v>
      </c>
      <c r="E33" s="315">
        <v>46546</v>
      </c>
      <c r="F33" s="1197" t="s">
        <v>953</v>
      </c>
      <c r="G33" s="1197" t="s">
        <v>936</v>
      </c>
      <c r="H33" s="1197" t="s">
        <v>144</v>
      </c>
      <c r="I33" s="1197" t="s">
        <v>937</v>
      </c>
      <c r="J33" s="1196">
        <v>0.04</v>
      </c>
      <c r="K33" s="1197" t="s">
        <v>138</v>
      </c>
      <c r="L33" s="651">
        <v>50</v>
      </c>
      <c r="M33" s="1197">
        <v>0</v>
      </c>
      <c r="N33" s="316">
        <v>0</v>
      </c>
      <c r="O33" s="315" t="s">
        <v>937</v>
      </c>
      <c r="P33" s="1197">
        <v>0</v>
      </c>
      <c r="Q33" s="1212">
        <v>0</v>
      </c>
      <c r="R33" s="651">
        <v>50</v>
      </c>
      <c r="S33" s="1212">
        <v>3.54</v>
      </c>
      <c r="T33" s="651">
        <v>51.5</v>
      </c>
      <c r="U33" s="651">
        <v>51.5</v>
      </c>
      <c r="V33" s="651">
        <v>51.5</v>
      </c>
      <c r="W33" s="651">
        <v>51.5</v>
      </c>
      <c r="X33" s="651">
        <v>51.5</v>
      </c>
      <c r="Y33" s="651">
        <v>51.5</v>
      </c>
      <c r="Z33" s="651">
        <v>0</v>
      </c>
      <c r="AA33" s="651">
        <v>0</v>
      </c>
      <c r="AB33" s="651">
        <v>0</v>
      </c>
      <c r="AC33" s="651">
        <v>0</v>
      </c>
    </row>
    <row r="34" spans="2:29" outlineLevel="1">
      <c r="B34" s="314" t="s">
        <v>479</v>
      </c>
      <c r="C34" s="315" t="s">
        <v>954</v>
      </c>
      <c r="D34" s="315">
        <v>40809</v>
      </c>
      <c r="E34" s="315">
        <v>46288</v>
      </c>
      <c r="F34" s="1197" t="s">
        <v>955</v>
      </c>
      <c r="G34" s="1197" t="s">
        <v>936</v>
      </c>
      <c r="H34" s="1197" t="s">
        <v>144</v>
      </c>
      <c r="I34" s="1197" t="s">
        <v>937</v>
      </c>
      <c r="J34" s="1196">
        <v>3.3000000000000002E-2</v>
      </c>
      <c r="K34" s="1197" t="s">
        <v>141</v>
      </c>
      <c r="L34" s="651">
        <v>20.324525770000001</v>
      </c>
      <c r="M34" s="1197">
        <v>0</v>
      </c>
      <c r="N34" s="316">
        <v>100</v>
      </c>
      <c r="O34" s="315" t="s">
        <v>956</v>
      </c>
      <c r="P34" s="1197">
        <v>0</v>
      </c>
      <c r="Q34" s="1212">
        <v>0</v>
      </c>
      <c r="R34" s="651">
        <v>20.324525770000001</v>
      </c>
      <c r="S34" s="1212">
        <v>3.3</v>
      </c>
      <c r="T34" s="651">
        <v>26</v>
      </c>
      <c r="U34" s="651">
        <v>26</v>
      </c>
      <c r="V34" s="651">
        <v>26</v>
      </c>
      <c r="W34" s="651">
        <v>26</v>
      </c>
      <c r="X34" s="651">
        <v>26</v>
      </c>
      <c r="Y34" s="651">
        <v>0</v>
      </c>
      <c r="Z34" s="651">
        <v>0</v>
      </c>
      <c r="AA34" s="651">
        <v>0</v>
      </c>
      <c r="AB34" s="651">
        <v>0</v>
      </c>
      <c r="AC34" s="651">
        <v>0</v>
      </c>
    </row>
    <row r="35" spans="2:29" outlineLevel="1">
      <c r="B35" s="314" t="s">
        <v>480</v>
      </c>
      <c r="C35" s="315" t="s">
        <v>957</v>
      </c>
      <c r="D35" s="315">
        <v>41256</v>
      </c>
      <c r="E35" s="315">
        <v>46734</v>
      </c>
      <c r="F35" s="1197" t="s">
        <v>958</v>
      </c>
      <c r="G35" s="1197" t="s">
        <v>936</v>
      </c>
      <c r="H35" s="1197" t="s">
        <v>144</v>
      </c>
      <c r="I35" s="1197" t="s">
        <v>937</v>
      </c>
      <c r="J35" s="1196">
        <v>3.1E-2</v>
      </c>
      <c r="K35" s="1197" t="s">
        <v>141</v>
      </c>
      <c r="L35" s="651">
        <v>24.047448559999999</v>
      </c>
      <c r="M35" s="1197">
        <v>0</v>
      </c>
      <c r="N35" s="316">
        <v>100</v>
      </c>
      <c r="O35" s="315" t="s">
        <v>959</v>
      </c>
      <c r="P35" s="1197">
        <v>0</v>
      </c>
      <c r="Q35" s="1212">
        <v>0</v>
      </c>
      <c r="R35" s="651">
        <v>24.047448559999999</v>
      </c>
      <c r="S35" s="1212">
        <v>3.1</v>
      </c>
      <c r="T35" s="651">
        <v>32.5</v>
      </c>
      <c r="U35" s="651">
        <v>32.5</v>
      </c>
      <c r="V35" s="651">
        <v>32.5</v>
      </c>
      <c r="W35" s="651">
        <v>32.5</v>
      </c>
      <c r="X35" s="651">
        <v>32.5</v>
      </c>
      <c r="Y35" s="651">
        <v>32.5</v>
      </c>
      <c r="Z35" s="651">
        <v>0</v>
      </c>
      <c r="AA35" s="651">
        <v>0</v>
      </c>
      <c r="AB35" s="651">
        <v>0</v>
      </c>
      <c r="AC35" s="651">
        <v>0</v>
      </c>
    </row>
    <row r="36" spans="2:29" outlineLevel="1">
      <c r="B36" s="314" t="s">
        <v>481</v>
      </c>
      <c r="C36" s="315" t="s">
        <v>960</v>
      </c>
      <c r="D36" s="315">
        <v>41312</v>
      </c>
      <c r="E36" s="315">
        <v>46790</v>
      </c>
      <c r="F36" s="1197" t="s">
        <v>961</v>
      </c>
      <c r="G36" s="1197" t="s">
        <v>936</v>
      </c>
      <c r="H36" s="1197" t="s">
        <v>144</v>
      </c>
      <c r="I36" s="1197" t="s">
        <v>937</v>
      </c>
      <c r="J36" s="1196">
        <v>3.2500000000000001E-2</v>
      </c>
      <c r="K36" s="1197" t="s">
        <v>141</v>
      </c>
      <c r="L36" s="651">
        <v>24.608398350000002</v>
      </c>
      <c r="M36" s="1197">
        <v>0</v>
      </c>
      <c r="N36" s="316">
        <v>100</v>
      </c>
      <c r="O36" s="315" t="s">
        <v>962</v>
      </c>
      <c r="P36" s="1197">
        <v>0</v>
      </c>
      <c r="Q36" s="1212">
        <v>0</v>
      </c>
      <c r="R36" s="651">
        <v>24.608398350000002</v>
      </c>
      <c r="S36" s="1212">
        <v>3.25</v>
      </c>
      <c r="T36" s="651">
        <v>31.3</v>
      </c>
      <c r="U36" s="651">
        <v>31.3</v>
      </c>
      <c r="V36" s="651">
        <v>31.3</v>
      </c>
      <c r="W36" s="651">
        <v>31.3</v>
      </c>
      <c r="X36" s="651">
        <v>31.3</v>
      </c>
      <c r="Y36" s="651">
        <v>31.3</v>
      </c>
      <c r="Z36" s="651">
        <v>0</v>
      </c>
      <c r="AA36" s="651">
        <v>0</v>
      </c>
      <c r="AB36" s="651">
        <v>0</v>
      </c>
      <c r="AC36" s="651">
        <v>0</v>
      </c>
    </row>
    <row r="37" spans="2:29" outlineLevel="1">
      <c r="B37" s="314" t="s">
        <v>482</v>
      </c>
      <c r="C37" s="315" t="s">
        <v>963</v>
      </c>
      <c r="D37" s="315">
        <v>41303</v>
      </c>
      <c r="E37" s="315">
        <v>45686</v>
      </c>
      <c r="F37" s="1197" t="s">
        <v>964</v>
      </c>
      <c r="G37" s="1197" t="s">
        <v>936</v>
      </c>
      <c r="H37" s="1197" t="s">
        <v>144</v>
      </c>
      <c r="I37" s="1197" t="s">
        <v>937</v>
      </c>
      <c r="J37" s="1196">
        <v>4.3499999999999997E-2</v>
      </c>
      <c r="K37" s="1197" t="s">
        <v>965</v>
      </c>
      <c r="L37" s="651">
        <v>134.71308099999999</v>
      </c>
      <c r="M37" s="1197">
        <v>0</v>
      </c>
      <c r="N37" s="316">
        <v>100</v>
      </c>
      <c r="O37" s="315" t="s">
        <v>966</v>
      </c>
      <c r="P37" s="1197">
        <v>0</v>
      </c>
      <c r="Q37" s="1212">
        <v>0</v>
      </c>
      <c r="R37" s="651">
        <v>134.71308099999999</v>
      </c>
      <c r="S37" s="1212">
        <v>4.3499999999999996</v>
      </c>
      <c r="T37" s="651">
        <v>101.2</v>
      </c>
      <c r="U37" s="651">
        <v>101.2</v>
      </c>
      <c r="V37" s="651">
        <v>101.2</v>
      </c>
      <c r="W37" s="651">
        <v>0</v>
      </c>
      <c r="X37" s="651">
        <v>0</v>
      </c>
      <c r="Y37" s="651">
        <v>0</v>
      </c>
      <c r="Z37" s="651">
        <v>0</v>
      </c>
      <c r="AA37" s="651">
        <v>0</v>
      </c>
      <c r="AB37" s="651">
        <v>0</v>
      </c>
      <c r="AC37" s="651">
        <v>0</v>
      </c>
    </row>
    <row r="38" spans="2:29" outlineLevel="1">
      <c r="B38" s="314" t="s">
        <v>483</v>
      </c>
      <c r="C38" s="315" t="s">
        <v>967</v>
      </c>
      <c r="D38" s="315">
        <v>37099</v>
      </c>
      <c r="E38" s="315">
        <v>47691</v>
      </c>
      <c r="F38" s="1197" t="s">
        <v>968</v>
      </c>
      <c r="G38" s="1197" t="s">
        <v>969</v>
      </c>
      <c r="H38" s="1197" t="s">
        <v>144</v>
      </c>
      <c r="I38" s="1197" t="s">
        <v>135</v>
      </c>
      <c r="J38" s="1196">
        <v>3.5889999999999998E-2</v>
      </c>
      <c r="K38" s="1197" t="s">
        <v>138</v>
      </c>
      <c r="L38" s="651">
        <v>40</v>
      </c>
      <c r="M38" s="1197">
        <v>0</v>
      </c>
      <c r="N38" s="316">
        <v>0</v>
      </c>
      <c r="O38" s="315" t="s">
        <v>937</v>
      </c>
      <c r="P38" s="1197">
        <v>0</v>
      </c>
      <c r="Q38" s="1212">
        <v>172.1</v>
      </c>
      <c r="R38" s="651">
        <v>40</v>
      </c>
      <c r="S38" s="1212">
        <v>3.59</v>
      </c>
      <c r="T38" s="651">
        <v>125.2</v>
      </c>
      <c r="U38" s="651">
        <v>138.85093135179346</v>
      </c>
      <c r="V38" s="651">
        <v>145.22823026614955</v>
      </c>
      <c r="W38" s="651">
        <v>148.80302159303267</v>
      </c>
      <c r="X38" s="651">
        <v>152.63461886905185</v>
      </c>
      <c r="Y38" s="651">
        <v>157.21365743512345</v>
      </c>
      <c r="Z38" s="651">
        <v>161.93006715817714</v>
      </c>
      <c r="AA38" s="651">
        <v>166.78796917292246</v>
      </c>
      <c r="AB38" s="651">
        <v>171.79160824811015</v>
      </c>
      <c r="AC38" s="651">
        <v>0</v>
      </c>
    </row>
    <row r="39" spans="2:29" outlineLevel="1">
      <c r="B39" s="314" t="s">
        <v>484</v>
      </c>
      <c r="C39" s="315" t="s">
        <v>967</v>
      </c>
      <c r="D39" s="315">
        <v>37283</v>
      </c>
      <c r="E39" s="315">
        <v>47691</v>
      </c>
      <c r="F39" s="1197" t="s">
        <v>970</v>
      </c>
      <c r="G39" s="1197" t="s">
        <v>969</v>
      </c>
      <c r="H39" s="1197" t="s">
        <v>144</v>
      </c>
      <c r="I39" s="1197" t="s">
        <v>135</v>
      </c>
      <c r="J39" s="1196">
        <v>3.5889999999999998E-2</v>
      </c>
      <c r="K39" s="1197" t="s">
        <v>138</v>
      </c>
      <c r="L39" s="651">
        <v>30</v>
      </c>
      <c r="M39" s="1197">
        <v>0</v>
      </c>
      <c r="N39" s="316">
        <v>0</v>
      </c>
      <c r="O39" s="315" t="s">
        <v>937</v>
      </c>
      <c r="P39" s="1197">
        <v>0</v>
      </c>
      <c r="Q39" s="1212">
        <v>172.1</v>
      </c>
      <c r="R39" s="651">
        <v>30</v>
      </c>
      <c r="S39" s="1212">
        <v>3.59</v>
      </c>
      <c r="T39" s="651">
        <v>0</v>
      </c>
      <c r="U39" s="651">
        <v>0</v>
      </c>
      <c r="V39" s="651">
        <v>0</v>
      </c>
      <c r="W39" s="651">
        <v>0</v>
      </c>
      <c r="X39" s="651">
        <v>0</v>
      </c>
      <c r="Y39" s="651">
        <v>0</v>
      </c>
      <c r="Z39" s="651">
        <v>0</v>
      </c>
      <c r="AA39" s="651">
        <v>0</v>
      </c>
      <c r="AB39" s="651">
        <v>0</v>
      </c>
      <c r="AC39" s="651">
        <v>0</v>
      </c>
    </row>
    <row r="40" spans="2:29" outlineLevel="1">
      <c r="B40" s="314" t="s">
        <v>485</v>
      </c>
      <c r="C40" s="315" t="s">
        <v>971</v>
      </c>
      <c r="D40" s="315">
        <v>37445</v>
      </c>
      <c r="E40" s="315">
        <v>48403</v>
      </c>
      <c r="F40" s="1197" t="s">
        <v>972</v>
      </c>
      <c r="G40" s="1197" t="s">
        <v>969</v>
      </c>
      <c r="H40" s="1197" t="s">
        <v>144</v>
      </c>
      <c r="I40" s="1197" t="s">
        <v>135</v>
      </c>
      <c r="J40" s="1196">
        <v>2.8170000000000001E-2</v>
      </c>
      <c r="K40" s="1197" t="s">
        <v>138</v>
      </c>
      <c r="L40" s="651">
        <v>50</v>
      </c>
      <c r="M40" s="1197">
        <v>0</v>
      </c>
      <c r="N40" s="316">
        <v>0</v>
      </c>
      <c r="O40" s="315" t="s">
        <v>937</v>
      </c>
      <c r="P40" s="1197">
        <v>0</v>
      </c>
      <c r="Q40" s="1212">
        <v>173.6</v>
      </c>
      <c r="R40" s="651">
        <v>50</v>
      </c>
      <c r="S40" s="1212">
        <v>2.82</v>
      </c>
      <c r="T40" s="651">
        <v>89.1</v>
      </c>
      <c r="U40" s="651">
        <v>98.81484012336098</v>
      </c>
      <c r="V40" s="651">
        <v>103.35331722614954</v>
      </c>
      <c r="W40" s="651">
        <v>105.89735801868378</v>
      </c>
      <c r="X40" s="651">
        <v>108.62415767757602</v>
      </c>
      <c r="Y40" s="651">
        <v>111.88288240790332</v>
      </c>
      <c r="Z40" s="651">
        <v>115.2393688801404</v>
      </c>
      <c r="AA40" s="651">
        <v>118.69654994654462</v>
      </c>
      <c r="AB40" s="651">
        <v>122.25744644494097</v>
      </c>
      <c r="AC40" s="651">
        <v>125.92516983828919</v>
      </c>
    </row>
    <row r="41" spans="2:29" outlineLevel="1">
      <c r="B41" s="314" t="s">
        <v>486</v>
      </c>
      <c r="C41" s="315" t="s">
        <v>973</v>
      </c>
      <c r="D41" s="315">
        <v>38531</v>
      </c>
      <c r="E41" s="315">
        <v>49488</v>
      </c>
      <c r="F41" s="1197" t="s">
        <v>974</v>
      </c>
      <c r="G41" s="1197" t="s">
        <v>969</v>
      </c>
      <c r="H41" s="1197" t="s">
        <v>144</v>
      </c>
      <c r="I41" s="1197" t="s">
        <v>135</v>
      </c>
      <c r="J41" s="1196">
        <v>2.2280000000000001E-2</v>
      </c>
      <c r="K41" s="1197" t="s">
        <v>138</v>
      </c>
      <c r="L41" s="651">
        <v>50</v>
      </c>
      <c r="M41" s="1197">
        <v>0</v>
      </c>
      <c r="N41" s="316">
        <v>0</v>
      </c>
      <c r="O41" s="315" t="s">
        <v>937</v>
      </c>
      <c r="P41" s="1197">
        <v>0</v>
      </c>
      <c r="Q41" s="1212">
        <v>188.6</v>
      </c>
      <c r="R41" s="651">
        <v>50</v>
      </c>
      <c r="S41" s="1212">
        <v>2.23</v>
      </c>
      <c r="T41" s="651">
        <v>81.8</v>
      </c>
      <c r="U41" s="651">
        <v>90.718899237833099</v>
      </c>
      <c r="V41" s="651">
        <v>94.885537026925178</v>
      </c>
      <c r="W41" s="651">
        <v>97.221143500879165</v>
      </c>
      <c r="X41" s="651">
        <v>99.724535331377325</v>
      </c>
      <c r="Y41" s="651">
        <v>102.71627139131867</v>
      </c>
      <c r="Z41" s="651">
        <v>105.79775953305821</v>
      </c>
      <c r="AA41" s="651">
        <v>108.97169231904996</v>
      </c>
      <c r="AB41" s="651">
        <v>112.24084308862146</v>
      </c>
      <c r="AC41" s="651">
        <v>115.60806838128011</v>
      </c>
    </row>
    <row r="42" spans="2:29" outlineLevel="1">
      <c r="B42" s="314" t="s">
        <v>487</v>
      </c>
      <c r="C42" s="315" t="s">
        <v>975</v>
      </c>
      <c r="D42" s="315">
        <v>38595</v>
      </c>
      <c r="E42" s="315">
        <v>49549</v>
      </c>
      <c r="F42" s="1197" t="s">
        <v>976</v>
      </c>
      <c r="G42" s="1197" t="s">
        <v>969</v>
      </c>
      <c r="H42" s="1197" t="s">
        <v>144</v>
      </c>
      <c r="I42" s="1197" t="s">
        <v>135</v>
      </c>
      <c r="J42" s="1196">
        <v>2.0752E-2</v>
      </c>
      <c r="K42" s="1197" t="s">
        <v>138</v>
      </c>
      <c r="L42" s="651">
        <v>25</v>
      </c>
      <c r="M42" s="1197">
        <v>0</v>
      </c>
      <c r="N42" s="316">
        <v>0</v>
      </c>
      <c r="O42" s="315" t="s">
        <v>937</v>
      </c>
      <c r="P42" s="1197">
        <v>0</v>
      </c>
      <c r="Q42" s="1212">
        <v>189.9</v>
      </c>
      <c r="R42" s="651">
        <v>25</v>
      </c>
      <c r="S42" s="1212">
        <v>2.06</v>
      </c>
      <c r="T42" s="651">
        <v>40.4</v>
      </c>
      <c r="U42" s="651">
        <v>44.804933119907787</v>
      </c>
      <c r="V42" s="651">
        <v>46.862783568310228</v>
      </c>
      <c r="W42" s="651">
        <v>48.016310482096799</v>
      </c>
      <c r="X42" s="651">
        <v>49.252704491291489</v>
      </c>
      <c r="Y42" s="651">
        <v>50.730285626030245</v>
      </c>
      <c r="Z42" s="651">
        <v>52.252194194811139</v>
      </c>
      <c r="AA42" s="651">
        <v>53.819760020655472</v>
      </c>
      <c r="AB42" s="651">
        <v>55.434352821275141</v>
      </c>
      <c r="AC42" s="651">
        <v>57.097383405913398</v>
      </c>
    </row>
    <row r="43" spans="2:29" outlineLevel="1">
      <c r="B43" s="314" t="s">
        <v>488</v>
      </c>
      <c r="C43" s="315" t="s">
        <v>977</v>
      </c>
      <c r="D43" s="315">
        <v>38623</v>
      </c>
      <c r="E43" s="315">
        <v>49580</v>
      </c>
      <c r="F43" s="1197" t="s">
        <v>978</v>
      </c>
      <c r="G43" s="1197" t="s">
        <v>969</v>
      </c>
      <c r="H43" s="1197" t="s">
        <v>144</v>
      </c>
      <c r="I43" s="1197" t="s">
        <v>135</v>
      </c>
      <c r="J43" s="1196">
        <v>2.0353E-2</v>
      </c>
      <c r="K43" s="1197" t="s">
        <v>138</v>
      </c>
      <c r="L43" s="651">
        <v>75</v>
      </c>
      <c r="M43" s="1197">
        <v>0</v>
      </c>
      <c r="N43" s="316">
        <v>0</v>
      </c>
      <c r="O43" s="315" t="s">
        <v>937</v>
      </c>
      <c r="P43" s="1197">
        <v>0</v>
      </c>
      <c r="Q43" s="1212">
        <v>188.9</v>
      </c>
      <c r="R43" s="651">
        <v>75</v>
      </c>
      <c r="S43" s="1212">
        <v>2.04</v>
      </c>
      <c r="T43" s="651">
        <v>121.4</v>
      </c>
      <c r="U43" s="651">
        <v>134.63660595932689</v>
      </c>
      <c r="V43" s="651">
        <v>140.82034468299165</v>
      </c>
      <c r="W43" s="651">
        <v>144.28663595362752</v>
      </c>
      <c r="X43" s="651">
        <v>148.00193874363336</v>
      </c>
      <c r="Y43" s="651">
        <v>152.4419969059424</v>
      </c>
      <c r="Z43" s="651">
        <v>157.01525681312066</v>
      </c>
      <c r="AA43" s="651">
        <v>161.72571451751429</v>
      </c>
      <c r="AB43" s="651">
        <v>166.57748595303971</v>
      </c>
      <c r="AC43" s="651">
        <v>171.5748105316309</v>
      </c>
    </row>
    <row r="44" spans="2:29" outlineLevel="1">
      <c r="B44" s="314" t="s">
        <v>489</v>
      </c>
      <c r="C44" s="315" t="s">
        <v>979</v>
      </c>
      <c r="D44" s="315">
        <v>38642</v>
      </c>
      <c r="E44" s="315">
        <v>49599</v>
      </c>
      <c r="F44" s="1197" t="s">
        <v>980</v>
      </c>
      <c r="G44" s="1197" t="s">
        <v>969</v>
      </c>
      <c r="H44" s="1197" t="s">
        <v>144</v>
      </c>
      <c r="I44" s="1197" t="s">
        <v>135</v>
      </c>
      <c r="J44" s="1196">
        <v>1.9949000000000001E-2</v>
      </c>
      <c r="K44" s="1197" t="s">
        <v>138</v>
      </c>
      <c r="L44" s="651">
        <v>25</v>
      </c>
      <c r="M44" s="1197">
        <v>0</v>
      </c>
      <c r="N44" s="316">
        <v>0</v>
      </c>
      <c r="O44" s="315" t="s">
        <v>937</v>
      </c>
      <c r="P44" s="1197">
        <v>0</v>
      </c>
      <c r="Q44" s="1212">
        <v>189.6</v>
      </c>
      <c r="R44" s="651">
        <v>25</v>
      </c>
      <c r="S44" s="1212">
        <v>1.99</v>
      </c>
      <c r="T44" s="651">
        <v>40.799999999999997</v>
      </c>
      <c r="U44" s="651">
        <v>45.248546319114794</v>
      </c>
      <c r="V44" s="651">
        <v>47.326771524432111</v>
      </c>
      <c r="W44" s="651">
        <v>48.491719496771019</v>
      </c>
      <c r="X44" s="651">
        <v>49.740355030809219</v>
      </c>
      <c r="Y44" s="651">
        <v>51.232565681733512</v>
      </c>
      <c r="Z44" s="651">
        <v>52.769542652185507</v>
      </c>
      <c r="AA44" s="651">
        <v>54.35262893175107</v>
      </c>
      <c r="AB44" s="651">
        <v>55.983207799703607</v>
      </c>
      <c r="AC44" s="651">
        <v>57.662704033694716</v>
      </c>
    </row>
    <row r="45" spans="2:29" outlineLevel="1">
      <c r="B45" s="314" t="s">
        <v>490</v>
      </c>
      <c r="C45" s="315" t="s">
        <v>981</v>
      </c>
      <c r="D45" s="315">
        <v>38679</v>
      </c>
      <c r="E45" s="315">
        <v>49636</v>
      </c>
      <c r="F45" s="1197" t="s">
        <v>982</v>
      </c>
      <c r="G45" s="1197" t="s">
        <v>969</v>
      </c>
      <c r="H45" s="1197" t="s">
        <v>144</v>
      </c>
      <c r="I45" s="1197" t="s">
        <v>135</v>
      </c>
      <c r="J45" s="1196">
        <v>1.8204000000000001E-2</v>
      </c>
      <c r="K45" s="1197" t="s">
        <v>138</v>
      </c>
      <c r="L45" s="651">
        <v>50</v>
      </c>
      <c r="M45" s="1197">
        <v>0</v>
      </c>
      <c r="N45" s="316">
        <v>0</v>
      </c>
      <c r="O45" s="315" t="s">
        <v>937</v>
      </c>
      <c r="P45" s="1197">
        <v>0</v>
      </c>
      <c r="Q45" s="1212">
        <v>190.5</v>
      </c>
      <c r="R45" s="651">
        <v>50</v>
      </c>
      <c r="S45" s="1212">
        <v>1.82</v>
      </c>
      <c r="T45" s="651">
        <v>80.599999999999994</v>
      </c>
      <c r="U45" s="651">
        <v>89.388059640212063</v>
      </c>
      <c r="V45" s="651">
        <v>93.493573158559514</v>
      </c>
      <c r="W45" s="651">
        <v>95.794916456856484</v>
      </c>
      <c r="X45" s="651">
        <v>98.261583712824105</v>
      </c>
      <c r="Y45" s="651">
        <v>101.20943122420886</v>
      </c>
      <c r="Z45" s="651">
        <v>104.24571416093511</v>
      </c>
      <c r="AA45" s="651">
        <v>107.37308558576316</v>
      </c>
      <c r="AB45" s="651">
        <v>110.59427815333606</v>
      </c>
      <c r="AC45" s="651">
        <v>113.91210649793615</v>
      </c>
    </row>
    <row r="46" spans="2:29" outlineLevel="1">
      <c r="B46" s="314" t="s">
        <v>491</v>
      </c>
      <c r="C46" s="315" t="s">
        <v>983</v>
      </c>
      <c r="D46" s="315">
        <v>38810</v>
      </c>
      <c r="E46" s="315">
        <v>49768</v>
      </c>
      <c r="F46" s="1197" t="s">
        <v>984</v>
      </c>
      <c r="G46" s="1197" t="s">
        <v>969</v>
      </c>
      <c r="H46" s="1197" t="s">
        <v>144</v>
      </c>
      <c r="I46" s="1197" t="s">
        <v>135</v>
      </c>
      <c r="J46" s="1196">
        <v>1.6448999999999998E-2</v>
      </c>
      <c r="K46" s="1197" t="s">
        <v>138</v>
      </c>
      <c r="L46" s="651">
        <v>200</v>
      </c>
      <c r="M46" s="1197">
        <v>0</v>
      </c>
      <c r="N46" s="316">
        <v>0</v>
      </c>
      <c r="O46" s="315" t="s">
        <v>937</v>
      </c>
      <c r="P46" s="1197">
        <v>0</v>
      </c>
      <c r="Q46" s="1212">
        <v>192.6</v>
      </c>
      <c r="R46" s="651">
        <v>200</v>
      </c>
      <c r="S46" s="1212">
        <v>1.64</v>
      </c>
      <c r="T46" s="651">
        <v>321.39999999999998</v>
      </c>
      <c r="U46" s="651">
        <v>356.44320556283077</v>
      </c>
      <c r="V46" s="651">
        <v>372.81432274393336</v>
      </c>
      <c r="W46" s="651">
        <v>381.99114329074035</v>
      </c>
      <c r="X46" s="651">
        <v>391.82720850250206</v>
      </c>
      <c r="Y46" s="651">
        <v>403.58202475757724</v>
      </c>
      <c r="Z46" s="651">
        <v>415.6894855003045</v>
      </c>
      <c r="AA46" s="651">
        <v>428.16017006531365</v>
      </c>
      <c r="AB46" s="651">
        <v>441.00497516727307</v>
      </c>
      <c r="AC46" s="651">
        <v>454.23512442229128</v>
      </c>
    </row>
    <row r="47" spans="2:29" outlineLevel="1">
      <c r="B47" s="314" t="s">
        <v>492</v>
      </c>
      <c r="C47" s="315" t="s">
        <v>985</v>
      </c>
      <c r="D47" s="315">
        <v>38814</v>
      </c>
      <c r="E47" s="315">
        <v>49772</v>
      </c>
      <c r="F47" s="1197" t="s">
        <v>986</v>
      </c>
      <c r="G47" s="1197" t="s">
        <v>969</v>
      </c>
      <c r="H47" s="1197" t="s">
        <v>144</v>
      </c>
      <c r="I47" s="1197" t="s">
        <v>135</v>
      </c>
      <c r="J47" s="1196">
        <v>1.6747000000000001E-2</v>
      </c>
      <c r="K47" s="1197" t="s">
        <v>138</v>
      </c>
      <c r="L47" s="651">
        <v>50</v>
      </c>
      <c r="M47" s="1197">
        <v>0</v>
      </c>
      <c r="N47" s="316">
        <v>0</v>
      </c>
      <c r="O47" s="315" t="s">
        <v>937</v>
      </c>
      <c r="P47" s="1197">
        <v>0</v>
      </c>
      <c r="Q47" s="1212">
        <v>192.6</v>
      </c>
      <c r="R47" s="651">
        <v>50</v>
      </c>
      <c r="S47" s="1212">
        <v>1.67</v>
      </c>
      <c r="T47" s="651">
        <v>80.3</v>
      </c>
      <c r="U47" s="651">
        <v>89.055349740806818</v>
      </c>
      <c r="V47" s="651">
        <v>93.145582191468108</v>
      </c>
      <c r="W47" s="651">
        <v>95.438359695850821</v>
      </c>
      <c r="X47" s="651">
        <v>97.895845808185811</v>
      </c>
      <c r="Y47" s="651">
        <v>100.83272118243141</v>
      </c>
      <c r="Z47" s="651">
        <v>103.85770281790434</v>
      </c>
      <c r="AA47" s="651">
        <v>106.97343390244147</v>
      </c>
      <c r="AB47" s="651">
        <v>110.18263691951472</v>
      </c>
      <c r="AC47" s="651">
        <v>113.48811602710016</v>
      </c>
    </row>
    <row r="48" spans="2:29" outlineLevel="1">
      <c r="B48" s="314" t="s">
        <v>493</v>
      </c>
      <c r="C48" s="315" t="s">
        <v>987</v>
      </c>
      <c r="D48" s="315">
        <v>38848</v>
      </c>
      <c r="E48" s="315">
        <v>57111</v>
      </c>
      <c r="F48" s="1197" t="s">
        <v>988</v>
      </c>
      <c r="G48" s="1197" t="s">
        <v>969</v>
      </c>
      <c r="H48" s="1197" t="s">
        <v>144</v>
      </c>
      <c r="I48" s="1197" t="s">
        <v>135</v>
      </c>
      <c r="J48" s="1196">
        <v>1.8190000000000001E-2</v>
      </c>
      <c r="K48" s="1197" t="s">
        <v>138</v>
      </c>
      <c r="L48" s="651">
        <v>50</v>
      </c>
      <c r="M48" s="1197">
        <v>0</v>
      </c>
      <c r="N48" s="316">
        <v>0</v>
      </c>
      <c r="O48" s="315" t="s">
        <v>937</v>
      </c>
      <c r="P48" s="1197">
        <v>0</v>
      </c>
      <c r="Q48" s="1212">
        <v>194.45805999999999</v>
      </c>
      <c r="R48" s="651">
        <v>50</v>
      </c>
      <c r="S48" s="1212">
        <v>1.82</v>
      </c>
      <c r="T48" s="651">
        <v>82.4</v>
      </c>
      <c r="U48" s="651">
        <v>91.384319036643618</v>
      </c>
      <c r="V48" s="651">
        <v>95.581518961108003</v>
      </c>
      <c r="W48" s="651">
        <v>97.934257022890506</v>
      </c>
      <c r="X48" s="651">
        <v>100.45601114065393</v>
      </c>
      <c r="Y48" s="651">
        <v>103.46969147487357</v>
      </c>
      <c r="Z48" s="651">
        <v>106.57378221911976</v>
      </c>
      <c r="AA48" s="651">
        <v>109.77099568569336</v>
      </c>
      <c r="AB48" s="651">
        <v>113.06412555626417</v>
      </c>
      <c r="AC48" s="651">
        <v>116.4560493229521</v>
      </c>
    </row>
    <row r="49" spans="2:29" outlineLevel="1">
      <c r="B49" s="314" t="s">
        <v>494</v>
      </c>
      <c r="C49" s="315" t="s">
        <v>989</v>
      </c>
      <c r="D49" s="315">
        <v>38863</v>
      </c>
      <c r="E49" s="315">
        <v>57126</v>
      </c>
      <c r="F49" s="1197" t="s">
        <v>990</v>
      </c>
      <c r="G49" s="1197" t="s">
        <v>969</v>
      </c>
      <c r="H49" s="1197" t="s">
        <v>144</v>
      </c>
      <c r="I49" s="1197" t="s">
        <v>135</v>
      </c>
      <c r="J49" s="1196">
        <v>1.823E-2</v>
      </c>
      <c r="K49" s="1197" t="s">
        <v>138</v>
      </c>
      <c r="L49" s="651">
        <v>150</v>
      </c>
      <c r="M49" s="1197">
        <v>0</v>
      </c>
      <c r="N49" s="316">
        <v>0</v>
      </c>
      <c r="O49" s="315" t="s">
        <v>937</v>
      </c>
      <c r="P49" s="1197">
        <v>0</v>
      </c>
      <c r="Q49" s="1212">
        <v>194.84515999999999</v>
      </c>
      <c r="R49" s="651">
        <v>150</v>
      </c>
      <c r="S49" s="1212">
        <v>1.82</v>
      </c>
      <c r="T49" s="651">
        <v>246.6</v>
      </c>
      <c r="U49" s="651">
        <v>273.48753731112032</v>
      </c>
      <c r="V49" s="651">
        <v>286.0485749491412</v>
      </c>
      <c r="W49" s="651">
        <v>293.08965754666019</v>
      </c>
      <c r="X49" s="651">
        <v>300.63655761268524</v>
      </c>
      <c r="Y49" s="651">
        <v>309.65565434106588</v>
      </c>
      <c r="Z49" s="651">
        <v>318.9453239712978</v>
      </c>
      <c r="AA49" s="651">
        <v>328.51368369043672</v>
      </c>
      <c r="AB49" s="651">
        <v>338.36909420114984</v>
      </c>
      <c r="AC49" s="651">
        <v>348.52016702718436</v>
      </c>
    </row>
    <row r="50" spans="2:29" outlineLevel="1">
      <c r="B50" s="314" t="s">
        <v>495</v>
      </c>
      <c r="C50" s="315" t="s">
        <v>991</v>
      </c>
      <c r="D50" s="315">
        <v>38912</v>
      </c>
      <c r="E50" s="315">
        <v>57175</v>
      </c>
      <c r="F50" s="1197" t="s">
        <v>992</v>
      </c>
      <c r="G50" s="1197" t="s">
        <v>969</v>
      </c>
      <c r="H50" s="1197" t="s">
        <v>144</v>
      </c>
      <c r="I50" s="1197" t="s">
        <v>135</v>
      </c>
      <c r="J50" s="1196">
        <v>1.797E-2</v>
      </c>
      <c r="K50" s="1197" t="s">
        <v>138</v>
      </c>
      <c r="L50" s="651">
        <v>50</v>
      </c>
      <c r="M50" s="1197">
        <v>0</v>
      </c>
      <c r="N50" s="316">
        <v>0</v>
      </c>
      <c r="O50" s="315" t="s">
        <v>937</v>
      </c>
      <c r="P50" s="1197">
        <v>0</v>
      </c>
      <c r="Q50" s="1212">
        <v>197.00323</v>
      </c>
      <c r="R50" s="651">
        <v>50</v>
      </c>
      <c r="S50" s="1212">
        <v>1.8</v>
      </c>
      <c r="T50" s="651">
        <v>82.1</v>
      </c>
      <c r="U50" s="651">
        <v>91.051609137238344</v>
      </c>
      <c r="V50" s="651">
        <v>95.233527994016569</v>
      </c>
      <c r="W50" s="651">
        <v>97.577700261884814</v>
      </c>
      <c r="X50" s="651">
        <v>100.09027323601561</v>
      </c>
      <c r="Y50" s="651">
        <v>103.0929814330961</v>
      </c>
      <c r="Z50" s="651">
        <v>106.18577087608897</v>
      </c>
      <c r="AA50" s="651">
        <v>109.37134400237164</v>
      </c>
      <c r="AB50" s="651">
        <v>112.65248432244279</v>
      </c>
      <c r="AC50" s="651">
        <v>116.03205885211608</v>
      </c>
    </row>
    <row r="51" spans="2:29" outlineLevel="1">
      <c r="B51" s="314" t="s">
        <v>496</v>
      </c>
      <c r="C51" s="315" t="s">
        <v>993</v>
      </c>
      <c r="D51" s="315">
        <v>38926</v>
      </c>
      <c r="E51" s="315">
        <v>57189</v>
      </c>
      <c r="F51" s="1197" t="s">
        <v>994</v>
      </c>
      <c r="G51" s="1197" t="s">
        <v>969</v>
      </c>
      <c r="H51" s="1197" t="s">
        <v>144</v>
      </c>
      <c r="I51" s="1197" t="s">
        <v>135</v>
      </c>
      <c r="J51" s="1196">
        <v>1.6573999999999998E-2</v>
      </c>
      <c r="K51" s="1197" t="s">
        <v>138</v>
      </c>
      <c r="L51" s="651">
        <v>50</v>
      </c>
      <c r="M51" s="1197">
        <v>0</v>
      </c>
      <c r="N51" s="316">
        <v>0</v>
      </c>
      <c r="O51" s="315" t="s">
        <v>937</v>
      </c>
      <c r="P51" s="1197">
        <v>0</v>
      </c>
      <c r="Q51" s="1212">
        <v>197.54516000000001</v>
      </c>
      <c r="R51" s="651">
        <v>50</v>
      </c>
      <c r="S51" s="1212">
        <v>1.66</v>
      </c>
      <c r="T51" s="651">
        <v>81.599999999999994</v>
      </c>
      <c r="U51" s="651">
        <v>90.497092638229589</v>
      </c>
      <c r="V51" s="651">
        <v>94.653543048864222</v>
      </c>
      <c r="W51" s="651">
        <v>96.983438993542038</v>
      </c>
      <c r="X51" s="651">
        <v>99.480710061618439</v>
      </c>
      <c r="Y51" s="651">
        <v>102.46513136346702</v>
      </c>
      <c r="Z51" s="651">
        <v>105.53908530437101</v>
      </c>
      <c r="AA51" s="651">
        <v>108.70525786350214</v>
      </c>
      <c r="AB51" s="651">
        <v>111.96641559940721</v>
      </c>
      <c r="AC51" s="651">
        <v>115.32540806738943</v>
      </c>
    </row>
    <row r="52" spans="2:29" outlineLevel="1">
      <c r="B52" s="314" t="s">
        <v>497</v>
      </c>
      <c r="C52" s="315" t="s">
        <v>995</v>
      </c>
      <c r="D52" s="315">
        <v>38926</v>
      </c>
      <c r="E52" s="315">
        <v>57189</v>
      </c>
      <c r="F52" s="1197" t="s">
        <v>996</v>
      </c>
      <c r="G52" s="1197" t="s">
        <v>969</v>
      </c>
      <c r="H52" s="1197" t="s">
        <v>144</v>
      </c>
      <c r="I52" s="1197" t="s">
        <v>135</v>
      </c>
      <c r="J52" s="1196">
        <v>1.5841999999999998E-2</v>
      </c>
      <c r="K52" s="1197" t="s">
        <v>138</v>
      </c>
      <c r="L52" s="651">
        <v>25</v>
      </c>
      <c r="M52" s="1197">
        <v>0</v>
      </c>
      <c r="N52" s="316">
        <v>0</v>
      </c>
      <c r="O52" s="315" t="s">
        <v>937</v>
      </c>
      <c r="P52" s="1197">
        <v>0</v>
      </c>
      <c r="Q52" s="1212">
        <v>197.54516000000001</v>
      </c>
      <c r="R52" s="651">
        <v>25</v>
      </c>
      <c r="S52" s="1212">
        <v>1.58</v>
      </c>
      <c r="T52" s="651">
        <v>40.799999999999997</v>
      </c>
      <c r="U52" s="651">
        <v>45.248546319114794</v>
      </c>
      <c r="V52" s="651">
        <v>47.326771524432111</v>
      </c>
      <c r="W52" s="651">
        <v>48.491719496771019</v>
      </c>
      <c r="X52" s="651">
        <v>49.740355030809219</v>
      </c>
      <c r="Y52" s="651">
        <v>51.232565681733512</v>
      </c>
      <c r="Z52" s="651">
        <v>52.769542652185507</v>
      </c>
      <c r="AA52" s="651">
        <v>54.35262893175107</v>
      </c>
      <c r="AB52" s="651">
        <v>55.983207799703607</v>
      </c>
      <c r="AC52" s="651">
        <v>57.662704033694716</v>
      </c>
    </row>
    <row r="53" spans="2:29" outlineLevel="1">
      <c r="B53" s="314" t="s">
        <v>498</v>
      </c>
      <c r="C53" s="315" t="s">
        <v>997</v>
      </c>
      <c r="D53" s="315">
        <v>39177</v>
      </c>
      <c r="E53" s="315">
        <v>50796</v>
      </c>
      <c r="F53" s="1197" t="s">
        <v>998</v>
      </c>
      <c r="G53" s="1197" t="s">
        <v>969</v>
      </c>
      <c r="H53" s="1197" t="s">
        <v>144</v>
      </c>
      <c r="I53" s="1197" t="s">
        <v>135</v>
      </c>
      <c r="J53" s="1196">
        <v>1.8055000000000002E-2</v>
      </c>
      <c r="K53" s="1197" t="s">
        <v>138</v>
      </c>
      <c r="L53" s="651">
        <v>50</v>
      </c>
      <c r="M53" s="1197">
        <v>0</v>
      </c>
      <c r="N53" s="316">
        <v>0</v>
      </c>
      <c r="O53" s="315" t="s">
        <v>937</v>
      </c>
      <c r="P53" s="1197">
        <v>0</v>
      </c>
      <c r="Q53" s="1212">
        <v>199.2</v>
      </c>
      <c r="R53" s="651">
        <v>50</v>
      </c>
      <c r="S53" s="1212">
        <v>1.7</v>
      </c>
      <c r="T53" s="651">
        <v>77.099999999999994</v>
      </c>
      <c r="U53" s="651">
        <v>85.506444147150745</v>
      </c>
      <c r="V53" s="651">
        <v>89.433678542493027</v>
      </c>
      <c r="W53" s="651">
        <v>91.635087578457004</v>
      </c>
      <c r="X53" s="651">
        <v>93.994641492043897</v>
      </c>
      <c r="Y53" s="651">
        <v>96.814480736805237</v>
      </c>
      <c r="Z53" s="651">
        <v>99.718915158909368</v>
      </c>
      <c r="AA53" s="651">
        <v>102.71048261367665</v>
      </c>
      <c r="AB53" s="651">
        <v>105.79179709208695</v>
      </c>
      <c r="AC53" s="651">
        <v>108.96555100484956</v>
      </c>
    </row>
    <row r="54" spans="2:29" outlineLevel="1">
      <c r="B54" s="314" t="s">
        <v>499</v>
      </c>
      <c r="C54" s="315" t="s">
        <v>999</v>
      </c>
      <c r="D54" s="315">
        <v>39182</v>
      </c>
      <c r="E54" s="315">
        <v>50892</v>
      </c>
      <c r="F54" s="1197" t="s">
        <v>1000</v>
      </c>
      <c r="G54" s="1197" t="s">
        <v>969</v>
      </c>
      <c r="H54" s="1197" t="s">
        <v>144</v>
      </c>
      <c r="I54" s="1197" t="s">
        <v>135</v>
      </c>
      <c r="J54" s="1196">
        <v>1.8575000000000001E-2</v>
      </c>
      <c r="K54" s="1197" t="s">
        <v>138</v>
      </c>
      <c r="L54" s="651">
        <v>150</v>
      </c>
      <c r="M54" s="1197">
        <v>0</v>
      </c>
      <c r="N54" s="316">
        <v>0</v>
      </c>
      <c r="O54" s="315" t="s">
        <v>937</v>
      </c>
      <c r="P54" s="1197">
        <v>0</v>
      </c>
      <c r="Q54" s="1212">
        <v>199.2</v>
      </c>
      <c r="R54" s="651">
        <v>150</v>
      </c>
      <c r="S54" s="1212">
        <v>1.8</v>
      </c>
      <c r="T54" s="651">
        <v>232.6</v>
      </c>
      <c r="U54" s="651">
        <v>257.96107533887505</v>
      </c>
      <c r="V54" s="651">
        <v>269.80899648487525</v>
      </c>
      <c r="W54" s="651">
        <v>276.45034203306227</v>
      </c>
      <c r="X54" s="651">
        <v>283.5687887295644</v>
      </c>
      <c r="Y54" s="651">
        <v>292.07585239145141</v>
      </c>
      <c r="Z54" s="651">
        <v>300.83812796319489</v>
      </c>
      <c r="AA54" s="651">
        <v>309.86327180209076</v>
      </c>
      <c r="AB54" s="651">
        <v>319.15916995615351</v>
      </c>
      <c r="AC54" s="651">
        <v>328.7339450548381</v>
      </c>
    </row>
    <row r="55" spans="2:29" outlineLevel="1">
      <c r="B55" s="314" t="s">
        <v>500</v>
      </c>
      <c r="C55" s="315" t="s">
        <v>1001</v>
      </c>
      <c r="D55" s="315">
        <v>39805</v>
      </c>
      <c r="E55" s="315">
        <v>58067</v>
      </c>
      <c r="F55" s="1197" t="s">
        <v>1002</v>
      </c>
      <c r="G55" s="1197" t="s">
        <v>969</v>
      </c>
      <c r="H55" s="1197" t="s">
        <v>144</v>
      </c>
      <c r="I55" s="1197" t="s">
        <v>135</v>
      </c>
      <c r="J55" s="1196">
        <v>3.6119999999999999E-2</v>
      </c>
      <c r="K55" s="1197" t="s">
        <v>138</v>
      </c>
      <c r="L55" s="651">
        <v>8.9</v>
      </c>
      <c r="M55" s="1197">
        <v>0</v>
      </c>
      <c r="N55" s="316">
        <v>0</v>
      </c>
      <c r="O55" s="315" t="s">
        <v>937</v>
      </c>
      <c r="P55" s="1197">
        <v>0</v>
      </c>
      <c r="Q55" s="1212">
        <v>217.90323000000001</v>
      </c>
      <c r="R55" s="651">
        <v>8.9</v>
      </c>
      <c r="S55" s="1212">
        <v>3.61</v>
      </c>
      <c r="T55" s="651">
        <v>13.3</v>
      </c>
      <c r="U55" s="651">
        <v>14.750138873633011</v>
      </c>
      <c r="V55" s="651">
        <v>15.427599541052627</v>
      </c>
      <c r="W55" s="651">
        <v>15.807349737918008</v>
      </c>
      <c r="X55" s="651">
        <v>16.214380438964774</v>
      </c>
      <c r="Y55" s="651">
        <v>16.700811852133722</v>
      </c>
      <c r="Z55" s="651">
        <v>17.201836207697731</v>
      </c>
      <c r="AA55" s="651">
        <v>17.717891293928663</v>
      </c>
      <c r="AB55" s="651">
        <v>18.249428032746522</v>
      </c>
      <c r="AC55" s="651">
        <v>18.796910873728919</v>
      </c>
    </row>
    <row r="56" spans="2:29" outlineLevel="1">
      <c r="B56" s="314" t="s">
        <v>501</v>
      </c>
      <c r="C56" s="315" t="s">
        <v>1003</v>
      </c>
      <c r="D56" s="315">
        <v>40030</v>
      </c>
      <c r="E56" s="315">
        <v>50987</v>
      </c>
      <c r="F56" s="1197" t="s">
        <v>1004</v>
      </c>
      <c r="G56" s="1197" t="s">
        <v>969</v>
      </c>
      <c r="H56" s="1197" t="s">
        <v>144</v>
      </c>
      <c r="I56" s="1197" t="s">
        <v>135</v>
      </c>
      <c r="J56" s="1196">
        <v>2.486E-2</v>
      </c>
      <c r="K56" s="1197" t="s">
        <v>138</v>
      </c>
      <c r="L56" s="651">
        <v>25</v>
      </c>
      <c r="M56" s="1197">
        <v>0</v>
      </c>
      <c r="N56" s="316">
        <v>0</v>
      </c>
      <c r="O56" s="315" t="s">
        <v>937</v>
      </c>
      <c r="P56" s="1197">
        <v>0</v>
      </c>
      <c r="Q56" s="1212">
        <v>212.87742</v>
      </c>
      <c r="R56" s="651">
        <v>25</v>
      </c>
      <c r="S56" s="1212">
        <v>2.4900000000000002</v>
      </c>
      <c r="T56" s="651">
        <v>37.799999999999997</v>
      </c>
      <c r="U56" s="651">
        <v>41.921447325062232</v>
      </c>
      <c r="V56" s="651">
        <v>43.846861853517986</v>
      </c>
      <c r="W56" s="651">
        <v>44.926151886714329</v>
      </c>
      <c r="X56" s="651">
        <v>46.082975984426191</v>
      </c>
      <c r="Y56" s="651">
        <v>47.46546526395899</v>
      </c>
      <c r="Z56" s="651">
        <v>48.889429221877748</v>
      </c>
      <c r="AA56" s="651">
        <v>50.356112098534084</v>
      </c>
      <c r="AB56" s="651">
        <v>51.866795461490106</v>
      </c>
      <c r="AC56" s="651">
        <v>53.422799325334807</v>
      </c>
    </row>
    <row r="57" spans="2:29" outlineLevel="1">
      <c r="B57" s="314" t="s">
        <v>502</v>
      </c>
      <c r="C57" s="315" t="s">
        <v>1005</v>
      </c>
      <c r="D57" s="315">
        <v>41310</v>
      </c>
      <c r="E57" s="315">
        <v>50076</v>
      </c>
      <c r="F57" s="1197" t="s">
        <v>1006</v>
      </c>
      <c r="G57" s="1197" t="s">
        <v>969</v>
      </c>
      <c r="H57" s="1197" t="s">
        <v>144</v>
      </c>
      <c r="I57" s="1197" t="s">
        <v>135</v>
      </c>
      <c r="J57" s="1196">
        <v>1.374E-2</v>
      </c>
      <c r="K57" s="1197" t="s">
        <v>138</v>
      </c>
      <c r="L57" s="651">
        <v>30</v>
      </c>
      <c r="M57" s="1197">
        <v>0</v>
      </c>
      <c r="N57" s="316">
        <v>0</v>
      </c>
      <c r="O57" s="315" t="s">
        <v>937</v>
      </c>
      <c r="P57" s="1197">
        <v>0</v>
      </c>
      <c r="Q57" s="1212">
        <v>245.77143000000001</v>
      </c>
      <c r="R57" s="651">
        <v>30</v>
      </c>
      <c r="S57" s="1212">
        <v>1.37</v>
      </c>
      <c r="T57" s="651">
        <v>39.299999999999997</v>
      </c>
      <c r="U57" s="651">
        <v>43.584996822088513</v>
      </c>
      <c r="V57" s="651">
        <v>45.586816688975048</v>
      </c>
      <c r="W57" s="651">
        <v>46.708935691742674</v>
      </c>
      <c r="X57" s="651">
        <v>47.911665507617705</v>
      </c>
      <c r="Y57" s="651">
        <v>49.349015472846247</v>
      </c>
      <c r="Z57" s="651">
        <v>50.829485937031627</v>
      </c>
      <c r="AA57" s="651">
        <v>52.354370515142577</v>
      </c>
      <c r="AB57" s="651">
        <v>53.925001630596853</v>
      </c>
      <c r="AC57" s="651">
        <v>55.542751679514758</v>
      </c>
    </row>
    <row r="58" spans="2:29" outlineLevel="1">
      <c r="B58" s="314" t="s">
        <v>503</v>
      </c>
      <c r="C58" s="315" t="s">
        <v>1007</v>
      </c>
      <c r="D58" s="315">
        <v>41513</v>
      </c>
      <c r="E58" s="315">
        <v>50644</v>
      </c>
      <c r="F58" s="1197" t="s">
        <v>1008</v>
      </c>
      <c r="G58" s="1197" t="s">
        <v>969</v>
      </c>
      <c r="H58" s="1197" t="s">
        <v>144</v>
      </c>
      <c r="I58" s="1197" t="s">
        <v>135</v>
      </c>
      <c r="J58" s="1196">
        <v>1.208E-2</v>
      </c>
      <c r="K58" s="1197" t="s">
        <v>138</v>
      </c>
      <c r="L58" s="651">
        <v>40</v>
      </c>
      <c r="M58" s="1197">
        <v>0</v>
      </c>
      <c r="N58" s="316">
        <v>0</v>
      </c>
      <c r="O58" s="315" t="s">
        <v>937</v>
      </c>
      <c r="P58" s="1197">
        <v>0</v>
      </c>
      <c r="Q58" s="1212">
        <v>249.74839</v>
      </c>
      <c r="R58" s="651">
        <v>40</v>
      </c>
      <c r="S58" s="1212">
        <v>1.21</v>
      </c>
      <c r="T58" s="651">
        <v>51.2</v>
      </c>
      <c r="U58" s="651">
        <v>56.782489498497</v>
      </c>
      <c r="V58" s="651">
        <v>59.390458383601086</v>
      </c>
      <c r="W58" s="651">
        <v>60.852353878300896</v>
      </c>
      <c r="X58" s="651">
        <v>62.419269058270402</v>
      </c>
      <c r="Y58" s="651">
        <v>64.291847130018525</v>
      </c>
      <c r="Z58" s="651">
        <v>66.220602543919071</v>
      </c>
      <c r="AA58" s="651">
        <v>68.20722062023664</v>
      </c>
      <c r="AB58" s="651">
        <v>70.253437238843745</v>
      </c>
      <c r="AC58" s="651">
        <v>72.361040356009056</v>
      </c>
    </row>
    <row r="59" spans="2:29" outlineLevel="1">
      <c r="B59" s="314" t="s">
        <v>504</v>
      </c>
      <c r="C59" s="315" t="s">
        <v>1009</v>
      </c>
      <c r="D59" s="315">
        <v>43439</v>
      </c>
      <c r="E59" s="315">
        <v>48918</v>
      </c>
      <c r="F59" s="1197" t="s">
        <v>1010</v>
      </c>
      <c r="G59" s="1197" t="s">
        <v>936</v>
      </c>
      <c r="H59" s="1197" t="s">
        <v>144</v>
      </c>
      <c r="I59" s="1197" t="s">
        <v>937</v>
      </c>
      <c r="J59" s="1196">
        <v>3.1350000000000003E-2</v>
      </c>
      <c r="K59" s="1197" t="s">
        <v>965</v>
      </c>
      <c r="L59" s="651">
        <v>91.248999999999995</v>
      </c>
      <c r="M59" s="1197">
        <v>0</v>
      </c>
      <c r="N59" s="316">
        <v>100</v>
      </c>
      <c r="O59" s="315" t="s">
        <v>1011</v>
      </c>
      <c r="P59" s="1197">
        <v>0</v>
      </c>
      <c r="Q59" s="1212">
        <v>0</v>
      </c>
      <c r="R59" s="651">
        <v>91.248999999999995</v>
      </c>
      <c r="S59" s="1212">
        <v>3.1349999999999998</v>
      </c>
      <c r="T59" s="651">
        <v>87.5</v>
      </c>
      <c r="U59" s="651">
        <v>87.5</v>
      </c>
      <c r="V59" s="651">
        <v>87.5</v>
      </c>
      <c r="W59" s="651">
        <v>87.5</v>
      </c>
      <c r="X59" s="651">
        <v>87.5</v>
      </c>
      <c r="Y59" s="651">
        <v>87.5</v>
      </c>
      <c r="Z59" s="651">
        <v>87.5</v>
      </c>
      <c r="AA59" s="651">
        <v>87.5</v>
      </c>
      <c r="AB59" s="651">
        <v>87.5</v>
      </c>
      <c r="AC59" s="651">
        <v>87.5</v>
      </c>
    </row>
    <row r="60" spans="2:29" outlineLevel="1">
      <c r="B60" s="314" t="s">
        <v>505</v>
      </c>
      <c r="C60" s="315" t="s">
        <v>1012</v>
      </c>
      <c r="D60" s="315">
        <v>43259</v>
      </c>
      <c r="E60" s="315">
        <v>46546</v>
      </c>
      <c r="F60" s="1197" t="s">
        <v>1013</v>
      </c>
      <c r="G60" s="1197" t="s">
        <v>936</v>
      </c>
      <c r="H60" s="1197" t="s">
        <v>144</v>
      </c>
      <c r="I60" s="1197" t="s">
        <v>937</v>
      </c>
      <c r="J60" s="1196">
        <v>0.04</v>
      </c>
      <c r="K60" s="1197" t="s">
        <v>138</v>
      </c>
      <c r="L60" s="651">
        <v>50</v>
      </c>
      <c r="M60" s="1197">
        <v>0</v>
      </c>
      <c r="N60" s="316">
        <v>0</v>
      </c>
      <c r="O60" s="315" t="s">
        <v>937</v>
      </c>
      <c r="P60" s="1197">
        <v>0</v>
      </c>
      <c r="Q60" s="1212">
        <v>0</v>
      </c>
      <c r="R60" s="651">
        <v>50</v>
      </c>
      <c r="S60" s="1212">
        <v>2.3039999999999998</v>
      </c>
      <c r="T60" s="651">
        <v>55.6</v>
      </c>
      <c r="U60" s="651">
        <v>55.6</v>
      </c>
      <c r="V60" s="651">
        <v>55.6</v>
      </c>
      <c r="W60" s="651">
        <v>55.6</v>
      </c>
      <c r="X60" s="651">
        <v>55.6</v>
      </c>
      <c r="Y60" s="651">
        <v>55.6</v>
      </c>
      <c r="Z60" s="651">
        <v>0</v>
      </c>
      <c r="AA60" s="651">
        <v>0</v>
      </c>
      <c r="AB60" s="651">
        <v>0</v>
      </c>
      <c r="AC60" s="651">
        <v>0</v>
      </c>
    </row>
    <row r="61" spans="2:29" outlineLevel="1">
      <c r="B61" s="314" t="s">
        <v>506</v>
      </c>
      <c r="C61" s="315" t="s">
        <v>1014</v>
      </c>
      <c r="D61" s="315">
        <v>43502</v>
      </c>
      <c r="E61" s="315">
        <v>49346</v>
      </c>
      <c r="F61" s="1197" t="s">
        <v>1015</v>
      </c>
      <c r="G61" s="1197" t="s">
        <v>936</v>
      </c>
      <c r="H61" s="1197" t="s">
        <v>144</v>
      </c>
      <c r="I61" s="1197" t="s">
        <v>937</v>
      </c>
      <c r="J61" s="1196">
        <v>2.75E-2</v>
      </c>
      <c r="K61" s="1197" t="s">
        <v>138</v>
      </c>
      <c r="L61" s="651">
        <v>250</v>
      </c>
      <c r="M61" s="1197">
        <v>0</v>
      </c>
      <c r="N61" s="316">
        <v>0</v>
      </c>
      <c r="O61" s="315" t="s">
        <v>937</v>
      </c>
      <c r="P61" s="1197">
        <v>0</v>
      </c>
      <c r="Q61" s="1212">
        <v>0</v>
      </c>
      <c r="R61" s="651">
        <v>250</v>
      </c>
      <c r="S61" s="1212">
        <v>2.7709999999999999</v>
      </c>
      <c r="T61" s="651">
        <v>240.7</v>
      </c>
      <c r="U61" s="651">
        <v>240.7</v>
      </c>
      <c r="V61" s="651">
        <v>240.7</v>
      </c>
      <c r="W61" s="651">
        <v>240.7</v>
      </c>
      <c r="X61" s="651">
        <v>240.7</v>
      </c>
      <c r="Y61" s="651">
        <v>240.7</v>
      </c>
      <c r="Z61" s="651">
        <v>240.7</v>
      </c>
      <c r="AA61" s="651">
        <v>240.7</v>
      </c>
      <c r="AB61" s="651">
        <v>240.7</v>
      </c>
      <c r="AC61" s="651">
        <v>240.7</v>
      </c>
    </row>
    <row r="62" spans="2:29" outlineLevel="1">
      <c r="B62" s="314" t="s">
        <v>507</v>
      </c>
      <c r="C62" s="315" t="s">
        <v>1016</v>
      </c>
      <c r="D62" s="315">
        <v>43511</v>
      </c>
      <c r="E62" s="315">
        <v>50816</v>
      </c>
      <c r="F62" s="1197" t="s">
        <v>1017</v>
      </c>
      <c r="G62" s="1197" t="s">
        <v>936</v>
      </c>
      <c r="H62" s="1197" t="s">
        <v>144</v>
      </c>
      <c r="I62" s="1197" t="s">
        <v>937</v>
      </c>
      <c r="J62" s="1196">
        <v>2.0369999999999999E-2</v>
      </c>
      <c r="K62" s="1197" t="s">
        <v>139</v>
      </c>
      <c r="L62" s="651">
        <v>98.438000000000002</v>
      </c>
      <c r="M62" s="1197">
        <v>0</v>
      </c>
      <c r="N62" s="316">
        <v>100</v>
      </c>
      <c r="O62" s="315" t="s">
        <v>1018</v>
      </c>
      <c r="P62" s="1197">
        <v>0</v>
      </c>
      <c r="Q62" s="1212">
        <v>0</v>
      </c>
      <c r="R62" s="651">
        <v>98.438000000000002</v>
      </c>
      <c r="S62" s="1212">
        <v>2.0369999999999999</v>
      </c>
      <c r="T62" s="651">
        <v>94.9</v>
      </c>
      <c r="U62" s="651">
        <v>94.9</v>
      </c>
      <c r="V62" s="651">
        <v>94.9</v>
      </c>
      <c r="W62" s="651">
        <v>94.9</v>
      </c>
      <c r="X62" s="651">
        <v>94.9</v>
      </c>
      <c r="Y62" s="651">
        <v>94.9</v>
      </c>
      <c r="Z62" s="651">
        <v>94.9</v>
      </c>
      <c r="AA62" s="651">
        <v>94.9</v>
      </c>
      <c r="AB62" s="651">
        <v>94.9</v>
      </c>
      <c r="AC62" s="651">
        <v>94.9</v>
      </c>
    </row>
    <row r="63" spans="2:29" outlineLevel="1">
      <c r="B63" s="314" t="s">
        <v>508</v>
      </c>
      <c r="C63" s="315" t="s">
        <v>1019</v>
      </c>
      <c r="D63" s="315">
        <v>43742</v>
      </c>
      <c r="E63" s="315">
        <v>49221</v>
      </c>
      <c r="F63" s="1197" t="s">
        <v>1020</v>
      </c>
      <c r="G63" s="1197" t="s">
        <v>936</v>
      </c>
      <c r="H63" s="1197" t="s">
        <v>144</v>
      </c>
      <c r="I63" s="1197" t="s">
        <v>937</v>
      </c>
      <c r="J63" s="1196">
        <v>2.7099999999999999E-2</v>
      </c>
      <c r="K63" s="1197" t="s">
        <v>1021</v>
      </c>
      <c r="L63" s="651">
        <v>38.190845109999998</v>
      </c>
      <c r="M63" s="1197">
        <v>0</v>
      </c>
      <c r="N63" s="316">
        <v>100</v>
      </c>
      <c r="O63" s="315" t="s">
        <v>1022</v>
      </c>
      <c r="P63" s="1197">
        <v>0</v>
      </c>
      <c r="Q63" s="1212">
        <v>0</v>
      </c>
      <c r="R63" s="651">
        <v>38.190845109999998</v>
      </c>
      <c r="S63" s="1212">
        <v>2.7097968199999998</v>
      </c>
      <c r="T63" s="651">
        <v>31.1</v>
      </c>
      <c r="U63" s="651">
        <v>31.1</v>
      </c>
      <c r="V63" s="651">
        <v>31.1</v>
      </c>
      <c r="W63" s="651">
        <v>31.1</v>
      </c>
      <c r="X63" s="651">
        <v>31.1</v>
      </c>
      <c r="Y63" s="651">
        <v>31.1</v>
      </c>
      <c r="Z63" s="651">
        <v>31.1</v>
      </c>
      <c r="AA63" s="651">
        <v>31.1</v>
      </c>
      <c r="AB63" s="651">
        <v>31.1</v>
      </c>
      <c r="AC63" s="651">
        <v>31.1</v>
      </c>
    </row>
    <row r="64" spans="2:29" outlineLevel="1">
      <c r="B64" s="314" t="s">
        <v>509</v>
      </c>
      <c r="C64" s="315" t="s">
        <v>1023</v>
      </c>
      <c r="D64" s="315">
        <v>43724</v>
      </c>
      <c r="E64" s="315">
        <v>46281</v>
      </c>
      <c r="F64" s="1197" t="s">
        <v>1024</v>
      </c>
      <c r="G64" s="1197" t="s">
        <v>936</v>
      </c>
      <c r="H64" s="1197" t="s">
        <v>144</v>
      </c>
      <c r="I64" s="1197" t="s">
        <v>937</v>
      </c>
      <c r="J64" s="1196">
        <v>1.375E-2</v>
      </c>
      <c r="K64" s="1197" t="s">
        <v>138</v>
      </c>
      <c r="L64" s="651">
        <v>300</v>
      </c>
      <c r="M64" s="1197">
        <v>0</v>
      </c>
      <c r="N64" s="316">
        <v>0</v>
      </c>
      <c r="O64" s="315" t="s">
        <v>937</v>
      </c>
      <c r="P64" s="1197">
        <v>0</v>
      </c>
      <c r="Q64" s="1212">
        <v>0</v>
      </c>
      <c r="R64" s="651">
        <v>300</v>
      </c>
      <c r="S64" s="1212">
        <v>1.3886645799999999</v>
      </c>
      <c r="T64" s="651">
        <v>294.7</v>
      </c>
      <c r="U64" s="651">
        <v>294.7</v>
      </c>
      <c r="V64" s="651">
        <v>294.7</v>
      </c>
      <c r="W64" s="651">
        <v>294.7</v>
      </c>
      <c r="X64" s="651">
        <v>294.7</v>
      </c>
      <c r="Y64" s="651">
        <v>0</v>
      </c>
      <c r="Z64" s="651">
        <v>0</v>
      </c>
      <c r="AA64" s="651">
        <v>0</v>
      </c>
      <c r="AB64" s="651">
        <v>0</v>
      </c>
      <c r="AC64" s="651">
        <v>0</v>
      </c>
    </row>
    <row r="65" spans="2:29" outlineLevel="1">
      <c r="B65" s="314" t="s">
        <v>510</v>
      </c>
      <c r="C65" s="315" t="s">
        <v>1025</v>
      </c>
      <c r="D65" s="315">
        <v>43724</v>
      </c>
      <c r="E65" s="315">
        <v>50664</v>
      </c>
      <c r="F65" s="1197" t="s">
        <v>1026</v>
      </c>
      <c r="G65" s="1197" t="s">
        <v>936</v>
      </c>
      <c r="H65" s="1197" t="s">
        <v>144</v>
      </c>
      <c r="I65" s="1197" t="s">
        <v>937</v>
      </c>
      <c r="J65" s="1196">
        <v>0.02</v>
      </c>
      <c r="K65" s="1197" t="s">
        <v>138</v>
      </c>
      <c r="L65" s="651">
        <v>400</v>
      </c>
      <c r="M65" s="1197">
        <v>0</v>
      </c>
      <c r="N65" s="316">
        <v>0</v>
      </c>
      <c r="O65" s="315" t="s">
        <v>937</v>
      </c>
      <c r="P65" s="1197">
        <v>0</v>
      </c>
      <c r="Q65" s="1212">
        <v>0</v>
      </c>
      <c r="R65" s="651">
        <v>400</v>
      </c>
      <c r="S65" s="1212">
        <v>2.0326741999999998</v>
      </c>
      <c r="T65" s="651">
        <v>380.5</v>
      </c>
      <c r="U65" s="651">
        <v>380.5</v>
      </c>
      <c r="V65" s="651">
        <v>380.5</v>
      </c>
      <c r="W65" s="651">
        <v>380.5</v>
      </c>
      <c r="X65" s="651">
        <v>380.5</v>
      </c>
      <c r="Y65" s="651">
        <v>380.5</v>
      </c>
      <c r="Z65" s="651">
        <v>380.5</v>
      </c>
      <c r="AA65" s="651">
        <v>380.5</v>
      </c>
      <c r="AB65" s="651">
        <v>380.5</v>
      </c>
      <c r="AC65" s="651">
        <v>380.5</v>
      </c>
    </row>
    <row r="66" spans="2:29" outlineLevel="1">
      <c r="B66" s="314" t="s">
        <v>511</v>
      </c>
      <c r="C66" s="315" t="s">
        <v>1027</v>
      </c>
      <c r="D66" s="315">
        <v>43724</v>
      </c>
      <c r="E66" s="315">
        <v>50664</v>
      </c>
      <c r="F66" s="1197" t="s">
        <v>1028</v>
      </c>
      <c r="G66" s="1197" t="s">
        <v>936</v>
      </c>
      <c r="H66" s="1197" t="s">
        <v>144</v>
      </c>
      <c r="I66" s="1197" t="s">
        <v>937</v>
      </c>
      <c r="J66" s="1196">
        <v>0.02</v>
      </c>
      <c r="K66" s="1197" t="s">
        <v>138</v>
      </c>
      <c r="L66" s="651">
        <v>40</v>
      </c>
      <c r="M66" s="1197">
        <v>0</v>
      </c>
      <c r="N66" s="316">
        <v>0</v>
      </c>
      <c r="O66" s="315" t="s">
        <v>937</v>
      </c>
      <c r="P66" s="1197">
        <v>0</v>
      </c>
      <c r="Q66" s="1212">
        <v>0</v>
      </c>
      <c r="R66" s="651">
        <v>40</v>
      </c>
      <c r="S66" s="1212">
        <v>2.1044314799999997</v>
      </c>
      <c r="T66" s="651">
        <v>39.799999999999997</v>
      </c>
      <c r="U66" s="651">
        <v>39.799999999999997</v>
      </c>
      <c r="V66" s="651">
        <v>39.799999999999997</v>
      </c>
      <c r="W66" s="651">
        <v>39.799999999999997</v>
      </c>
      <c r="X66" s="651">
        <v>39.799999999999997</v>
      </c>
      <c r="Y66" s="651">
        <v>39.799999999999997</v>
      </c>
      <c r="Z66" s="651">
        <v>39.799999999999997</v>
      </c>
      <c r="AA66" s="651">
        <v>39.799999999999997</v>
      </c>
      <c r="AB66" s="651">
        <v>39.799999999999997</v>
      </c>
      <c r="AC66" s="651">
        <v>39.799999999999997</v>
      </c>
    </row>
    <row r="67" spans="2:29" outlineLevel="1">
      <c r="B67" s="314" t="s">
        <v>512</v>
      </c>
      <c r="C67" s="315" t="s">
        <v>1029</v>
      </c>
      <c r="D67" s="315">
        <v>43809</v>
      </c>
      <c r="E67" s="315">
        <v>51114</v>
      </c>
      <c r="F67" s="1197" t="s">
        <v>1030</v>
      </c>
      <c r="G67" s="1197" t="s">
        <v>936</v>
      </c>
      <c r="H67" s="1197" t="s">
        <v>144</v>
      </c>
      <c r="I67" s="1197" t="s">
        <v>937</v>
      </c>
      <c r="J67" s="1196">
        <v>3.1199999999999999E-2</v>
      </c>
      <c r="K67" s="1197" t="s">
        <v>1021</v>
      </c>
      <c r="L67" s="651">
        <v>43.363678999999998</v>
      </c>
      <c r="M67" s="1197">
        <v>0</v>
      </c>
      <c r="N67" s="316">
        <v>100</v>
      </c>
      <c r="O67" s="315" t="s">
        <v>1031</v>
      </c>
      <c r="P67" s="1197">
        <v>0</v>
      </c>
      <c r="Q67" s="1212">
        <v>0</v>
      </c>
      <c r="R67" s="651">
        <v>43.363678999999998</v>
      </c>
      <c r="S67" s="1212">
        <v>3.1198593699999999</v>
      </c>
      <c r="T67" s="651">
        <v>47.1</v>
      </c>
      <c r="U67" s="651">
        <v>47.1</v>
      </c>
      <c r="V67" s="651">
        <v>47.1</v>
      </c>
      <c r="W67" s="651">
        <v>47.1</v>
      </c>
      <c r="X67" s="651">
        <v>47.1</v>
      </c>
      <c r="Y67" s="651">
        <v>47.1</v>
      </c>
      <c r="Z67" s="651">
        <v>47.1</v>
      </c>
      <c r="AA67" s="651">
        <v>47.1</v>
      </c>
      <c r="AB67" s="651">
        <v>47.1</v>
      </c>
      <c r="AC67" s="651">
        <v>47.1</v>
      </c>
    </row>
    <row r="68" spans="2:29" outlineLevel="1">
      <c r="B68" s="314" t="s">
        <v>513</v>
      </c>
      <c r="C68" s="315" t="s">
        <v>1032</v>
      </c>
      <c r="D68" s="315">
        <v>43818</v>
      </c>
      <c r="E68" s="315">
        <v>51123</v>
      </c>
      <c r="F68" s="1197" t="s">
        <v>1033</v>
      </c>
      <c r="G68" s="1197" t="s">
        <v>936</v>
      </c>
      <c r="H68" s="1197" t="s">
        <v>144</v>
      </c>
      <c r="I68" s="1197" t="s">
        <v>937</v>
      </c>
      <c r="J68" s="1196">
        <v>2.2259999999999999E-2</v>
      </c>
      <c r="K68" s="1197" t="s">
        <v>138</v>
      </c>
      <c r="L68" s="651">
        <v>50</v>
      </c>
      <c r="M68" s="1197">
        <v>0</v>
      </c>
      <c r="N68" s="316">
        <v>0</v>
      </c>
      <c r="O68" s="315" t="s">
        <v>937</v>
      </c>
      <c r="P68" s="1197">
        <v>0</v>
      </c>
      <c r="Q68" s="1212">
        <v>0</v>
      </c>
      <c r="R68" s="651">
        <v>50</v>
      </c>
      <c r="S68" s="1212">
        <v>2.2243394799999998</v>
      </c>
      <c r="T68" s="651">
        <v>50.2</v>
      </c>
      <c r="U68" s="651">
        <v>50.2</v>
      </c>
      <c r="V68" s="651">
        <v>50.2</v>
      </c>
      <c r="W68" s="651">
        <v>50.2</v>
      </c>
      <c r="X68" s="651">
        <v>50.2</v>
      </c>
      <c r="Y68" s="651">
        <v>50.2</v>
      </c>
      <c r="Z68" s="651">
        <v>50.2</v>
      </c>
      <c r="AA68" s="651">
        <v>50.2</v>
      </c>
      <c r="AB68" s="651">
        <v>50.2</v>
      </c>
      <c r="AC68" s="651">
        <v>50.2</v>
      </c>
    </row>
    <row r="69" spans="2:29" outlineLevel="1">
      <c r="B69" s="314" t="s">
        <v>514</v>
      </c>
      <c r="C69" s="315" t="s">
        <v>1034</v>
      </c>
      <c r="D69" s="315">
        <v>43850</v>
      </c>
      <c r="E69" s="315">
        <v>45677</v>
      </c>
      <c r="F69" s="1197" t="s">
        <v>1035</v>
      </c>
      <c r="G69" s="1197" t="s">
        <v>936</v>
      </c>
      <c r="H69" s="1197" t="s">
        <v>144</v>
      </c>
      <c r="I69" s="1197" t="s">
        <v>937</v>
      </c>
      <c r="J69" s="1196">
        <v>1.9E-3</v>
      </c>
      <c r="K69" s="1197" t="s">
        <v>139</v>
      </c>
      <c r="L69" s="651">
        <v>428.28329330999998</v>
      </c>
      <c r="M69" s="1197">
        <v>0</v>
      </c>
      <c r="N69" s="316">
        <v>100</v>
      </c>
      <c r="O69" s="315" t="s">
        <v>1036</v>
      </c>
      <c r="P69" s="1197">
        <v>0</v>
      </c>
      <c r="Q69" s="1212">
        <v>0</v>
      </c>
      <c r="R69" s="651">
        <v>428.28329330999998</v>
      </c>
      <c r="S69" s="1212">
        <v>0.19031049999999999</v>
      </c>
      <c r="T69" s="651">
        <v>421</v>
      </c>
      <c r="U69" s="651">
        <v>421</v>
      </c>
      <c r="V69" s="651">
        <v>421</v>
      </c>
      <c r="W69" s="651">
        <v>0</v>
      </c>
      <c r="X69" s="651">
        <v>0</v>
      </c>
      <c r="Y69" s="651">
        <v>0</v>
      </c>
      <c r="Z69" s="651">
        <v>0</v>
      </c>
      <c r="AA69" s="651">
        <v>0</v>
      </c>
      <c r="AB69" s="651">
        <v>0</v>
      </c>
      <c r="AC69" s="651">
        <v>0</v>
      </c>
    </row>
    <row r="70" spans="2:29" outlineLevel="1">
      <c r="B70" s="314" t="s">
        <v>515</v>
      </c>
      <c r="C70" s="315" t="s">
        <v>1037</v>
      </c>
      <c r="D70" s="315">
        <v>43854</v>
      </c>
      <c r="E70" s="315">
        <v>46776</v>
      </c>
      <c r="F70" s="1197" t="s">
        <v>1038</v>
      </c>
      <c r="G70" s="1197" t="s">
        <v>936</v>
      </c>
      <c r="H70" s="1197" t="s">
        <v>144</v>
      </c>
      <c r="I70" s="1197" t="s">
        <v>937</v>
      </c>
      <c r="J70" s="1196">
        <v>2.2450000000000001E-2</v>
      </c>
      <c r="K70" s="1197" t="s">
        <v>141</v>
      </c>
      <c r="L70" s="651">
        <v>41.57942705</v>
      </c>
      <c r="M70" s="1197">
        <v>0</v>
      </c>
      <c r="N70" s="316">
        <v>100</v>
      </c>
      <c r="O70" s="315" t="s">
        <v>1039</v>
      </c>
      <c r="P70" s="1197">
        <v>0</v>
      </c>
      <c r="Q70" s="1212">
        <v>0</v>
      </c>
      <c r="R70" s="651">
        <v>41.57942705</v>
      </c>
      <c r="S70" s="1212">
        <v>2.2448795099999996</v>
      </c>
      <c r="T70" s="651">
        <v>41.2</v>
      </c>
      <c r="U70" s="651">
        <v>41.2</v>
      </c>
      <c r="V70" s="651">
        <v>41.2</v>
      </c>
      <c r="W70" s="651">
        <v>41.2</v>
      </c>
      <c r="X70" s="651">
        <v>41.2</v>
      </c>
      <c r="Y70" s="651">
        <v>41.2</v>
      </c>
      <c r="Z70" s="651">
        <v>0</v>
      </c>
      <c r="AA70" s="651">
        <v>0</v>
      </c>
      <c r="AB70" s="651">
        <v>0</v>
      </c>
      <c r="AC70" s="651">
        <v>0</v>
      </c>
    </row>
    <row r="71" spans="2:29" outlineLevel="1">
      <c r="B71" s="314" t="s">
        <v>516</v>
      </c>
      <c r="C71" s="315" t="s">
        <v>1040</v>
      </c>
      <c r="D71" s="315">
        <v>43859</v>
      </c>
      <c r="E71" s="315">
        <v>47877</v>
      </c>
      <c r="F71" s="1197" t="s">
        <v>1041</v>
      </c>
      <c r="G71" s="1197" t="s">
        <v>936</v>
      </c>
      <c r="H71" s="1197" t="s">
        <v>144</v>
      </c>
      <c r="I71" s="1197" t="s">
        <v>937</v>
      </c>
      <c r="J71" s="1196">
        <v>2.5000000000000001E-2</v>
      </c>
      <c r="K71" s="1197" t="s">
        <v>140</v>
      </c>
      <c r="L71" s="651">
        <v>65.174053060000006</v>
      </c>
      <c r="M71" s="1197">
        <v>0</v>
      </c>
      <c r="N71" s="316">
        <v>100</v>
      </c>
      <c r="O71" s="315" t="s">
        <v>1042</v>
      </c>
      <c r="P71" s="1197">
        <v>0</v>
      </c>
      <c r="Q71" s="1212">
        <v>0</v>
      </c>
      <c r="R71" s="651">
        <v>65.174053060000006</v>
      </c>
      <c r="S71" s="1212">
        <v>2.4638923500000001</v>
      </c>
      <c r="T71" s="651">
        <v>64.900000000000006</v>
      </c>
      <c r="U71" s="651">
        <v>64.900000000000006</v>
      </c>
      <c r="V71" s="651">
        <v>64.900000000000006</v>
      </c>
      <c r="W71" s="651">
        <v>64.900000000000006</v>
      </c>
      <c r="X71" s="651">
        <v>64.900000000000006</v>
      </c>
      <c r="Y71" s="651">
        <v>64.900000000000006</v>
      </c>
      <c r="Z71" s="651">
        <v>64.900000000000006</v>
      </c>
      <c r="AA71" s="651">
        <v>64.900000000000006</v>
      </c>
      <c r="AB71" s="651">
        <v>64.900000000000006</v>
      </c>
      <c r="AC71" s="651">
        <v>0</v>
      </c>
    </row>
    <row r="72" spans="2:29" outlineLevel="1">
      <c r="B72" s="314" t="s">
        <v>517</v>
      </c>
      <c r="C72" s="315" t="s">
        <v>1043</v>
      </c>
      <c r="D72" s="315">
        <v>43881</v>
      </c>
      <c r="E72" s="315">
        <v>51186</v>
      </c>
      <c r="F72" s="1197" t="s">
        <v>1044</v>
      </c>
      <c r="G72" s="1197" t="s">
        <v>936</v>
      </c>
      <c r="H72" s="1197" t="s">
        <v>144</v>
      </c>
      <c r="I72" s="1197" t="s">
        <v>937</v>
      </c>
      <c r="J72" s="1196">
        <v>1.1509999999999999E-2</v>
      </c>
      <c r="K72" s="1197" t="s">
        <v>139</v>
      </c>
      <c r="L72" s="651">
        <v>83.25</v>
      </c>
      <c r="M72" s="1197">
        <v>0</v>
      </c>
      <c r="N72" s="316">
        <v>100</v>
      </c>
      <c r="O72" s="315" t="s">
        <v>1045</v>
      </c>
      <c r="P72" s="1197">
        <v>0</v>
      </c>
      <c r="Q72" s="1212">
        <v>0</v>
      </c>
      <c r="R72" s="651">
        <v>83.25</v>
      </c>
      <c r="S72" s="1212">
        <v>1.15012906</v>
      </c>
      <c r="T72" s="651">
        <v>68.099999999999994</v>
      </c>
      <c r="U72" s="651">
        <v>68.099999999999994</v>
      </c>
      <c r="V72" s="651">
        <v>68.099999999999994</v>
      </c>
      <c r="W72" s="651">
        <v>68.099999999999994</v>
      </c>
      <c r="X72" s="651">
        <v>68.099999999999994</v>
      </c>
      <c r="Y72" s="651">
        <v>68.099999999999994</v>
      </c>
      <c r="Z72" s="651">
        <v>68.099999999999994</v>
      </c>
      <c r="AA72" s="651">
        <v>68.099999999999994</v>
      </c>
      <c r="AB72" s="651">
        <v>68.099999999999994</v>
      </c>
      <c r="AC72" s="651">
        <v>68.099999999999994</v>
      </c>
    </row>
    <row r="73" spans="2:29" outlineLevel="1">
      <c r="B73" s="314" t="s">
        <v>518</v>
      </c>
      <c r="C73" s="315" t="s">
        <v>1046</v>
      </c>
      <c r="D73" s="315">
        <v>43902</v>
      </c>
      <c r="E73" s="315">
        <v>48285</v>
      </c>
      <c r="F73" s="1197" t="s">
        <v>1047</v>
      </c>
      <c r="G73" s="1197" t="s">
        <v>936</v>
      </c>
      <c r="H73" s="1197" t="s">
        <v>144</v>
      </c>
      <c r="I73" s="1197" t="s">
        <v>937</v>
      </c>
      <c r="J73" s="1196">
        <v>2.0199999999999999E-2</v>
      </c>
      <c r="K73" s="1197" t="s">
        <v>1021</v>
      </c>
      <c r="L73" s="651">
        <v>35.956441340000005</v>
      </c>
      <c r="M73" s="1197">
        <v>0</v>
      </c>
      <c r="N73" s="316">
        <v>100</v>
      </c>
      <c r="O73" s="315" t="s">
        <v>1048</v>
      </c>
      <c r="P73" s="1197">
        <v>0</v>
      </c>
      <c r="Q73" s="1212">
        <v>0</v>
      </c>
      <c r="R73" s="651">
        <v>35.956441340000005</v>
      </c>
      <c r="S73" s="1212">
        <v>2.0185076999999998</v>
      </c>
      <c r="T73" s="651">
        <v>40</v>
      </c>
      <c r="U73" s="651">
        <v>40</v>
      </c>
      <c r="V73" s="651">
        <v>40</v>
      </c>
      <c r="W73" s="651">
        <v>40</v>
      </c>
      <c r="X73" s="651">
        <v>40</v>
      </c>
      <c r="Y73" s="651">
        <v>40</v>
      </c>
      <c r="Z73" s="651">
        <v>40</v>
      </c>
      <c r="AA73" s="651">
        <v>40</v>
      </c>
      <c r="AB73" s="651">
        <v>40</v>
      </c>
      <c r="AC73" s="651">
        <v>40</v>
      </c>
    </row>
    <row r="74" spans="2:29" outlineLevel="1">
      <c r="B74" s="314" t="s">
        <v>519</v>
      </c>
      <c r="C74" s="315" t="s">
        <v>1049</v>
      </c>
      <c r="D74" s="315">
        <v>43938</v>
      </c>
      <c r="E74" s="315">
        <v>51243</v>
      </c>
      <c r="F74" s="1197" t="s">
        <v>1050</v>
      </c>
      <c r="G74" s="1197" t="s">
        <v>936</v>
      </c>
      <c r="H74" s="1197" t="s">
        <v>144</v>
      </c>
      <c r="I74" s="1197" t="s">
        <v>937</v>
      </c>
      <c r="J74" s="1196">
        <v>0.02</v>
      </c>
      <c r="K74" s="1197" t="s">
        <v>138</v>
      </c>
      <c r="L74" s="651">
        <v>400</v>
      </c>
      <c r="M74" s="1197">
        <v>0</v>
      </c>
      <c r="N74" s="316">
        <v>0</v>
      </c>
      <c r="O74" s="315" t="s">
        <v>937</v>
      </c>
      <c r="P74" s="1197">
        <v>0</v>
      </c>
      <c r="Q74" s="1212">
        <v>0</v>
      </c>
      <c r="R74" s="651">
        <v>400</v>
      </c>
      <c r="S74" s="1212">
        <v>2.0862823399999999</v>
      </c>
      <c r="T74" s="651">
        <v>395.8</v>
      </c>
      <c r="U74" s="651">
        <v>395.8</v>
      </c>
      <c r="V74" s="651">
        <v>395.8</v>
      </c>
      <c r="W74" s="651">
        <v>395.8</v>
      </c>
      <c r="X74" s="651">
        <v>395.8</v>
      </c>
      <c r="Y74" s="651">
        <v>395.8</v>
      </c>
      <c r="Z74" s="651">
        <v>395.8</v>
      </c>
      <c r="AA74" s="651">
        <v>395.8</v>
      </c>
      <c r="AB74" s="651">
        <v>395.8</v>
      </c>
      <c r="AC74" s="651">
        <v>395.8</v>
      </c>
    </row>
    <row r="75" spans="2:29" outlineLevel="1">
      <c r="B75" s="314" t="s">
        <v>520</v>
      </c>
      <c r="C75" s="315" t="s">
        <v>1051</v>
      </c>
      <c r="D75" s="315">
        <v>44036</v>
      </c>
      <c r="E75" s="315">
        <v>49514</v>
      </c>
      <c r="F75" s="1197" t="s">
        <v>1052</v>
      </c>
      <c r="G75" s="1197" t="s">
        <v>936</v>
      </c>
      <c r="H75" s="1197" t="s">
        <v>144</v>
      </c>
      <c r="I75" s="1197" t="s">
        <v>937</v>
      </c>
      <c r="J75" s="1196">
        <v>2.5000000000000001E-2</v>
      </c>
      <c r="K75" s="1197" t="s">
        <v>1021</v>
      </c>
      <c r="L75" s="651">
        <v>30.635000000000002</v>
      </c>
      <c r="M75" s="1197">
        <v>0</v>
      </c>
      <c r="N75" s="316">
        <v>100</v>
      </c>
      <c r="O75" s="315" t="s">
        <v>1053</v>
      </c>
      <c r="P75" s="1197">
        <v>0</v>
      </c>
      <c r="Q75" s="1212">
        <v>0</v>
      </c>
      <c r="R75" s="651">
        <v>30.635000000000002</v>
      </c>
      <c r="S75" s="1212">
        <v>2.4642981800000001</v>
      </c>
      <c r="T75" s="651">
        <v>31.9</v>
      </c>
      <c r="U75" s="651">
        <v>31.9</v>
      </c>
      <c r="V75" s="651">
        <v>31.9</v>
      </c>
      <c r="W75" s="651">
        <v>31.9</v>
      </c>
      <c r="X75" s="651">
        <v>31.9</v>
      </c>
      <c r="Y75" s="651">
        <v>31.9</v>
      </c>
      <c r="Z75" s="651">
        <v>31.9</v>
      </c>
      <c r="AA75" s="651">
        <v>31.9</v>
      </c>
      <c r="AB75" s="651">
        <v>31.9</v>
      </c>
      <c r="AC75" s="651">
        <v>31.9</v>
      </c>
    </row>
    <row r="76" spans="2:29" outlineLevel="1">
      <c r="B76" s="314" t="s">
        <v>521</v>
      </c>
      <c r="C76" s="315" t="s">
        <v>1054</v>
      </c>
      <c r="D76" s="315">
        <v>44019</v>
      </c>
      <c r="E76" s="315">
        <v>48402</v>
      </c>
      <c r="F76" s="1197" t="s">
        <v>1055</v>
      </c>
      <c r="G76" s="1197" t="s">
        <v>936</v>
      </c>
      <c r="H76" s="1197" t="s">
        <v>144</v>
      </c>
      <c r="I76" s="1197" t="s">
        <v>937</v>
      </c>
      <c r="J76" s="1196">
        <v>8.2299999999999995E-3</v>
      </c>
      <c r="K76" s="1197" t="s">
        <v>139</v>
      </c>
      <c r="L76" s="651">
        <v>676.33799999999997</v>
      </c>
      <c r="M76" s="1197">
        <v>0</v>
      </c>
      <c r="N76" s="316">
        <v>100</v>
      </c>
      <c r="O76" s="315" t="s">
        <v>1056</v>
      </c>
      <c r="P76" s="1197">
        <v>0</v>
      </c>
      <c r="Q76" s="1212">
        <v>0</v>
      </c>
      <c r="R76" s="651">
        <v>676.33799999999997</v>
      </c>
      <c r="S76" s="1212">
        <v>0.82462148999999996</v>
      </c>
      <c r="T76" s="651">
        <v>604.20000000000005</v>
      </c>
      <c r="U76" s="651">
        <v>604.20000000000005</v>
      </c>
      <c r="V76" s="651">
        <v>604.20000000000005</v>
      </c>
      <c r="W76" s="651">
        <v>604.20000000000005</v>
      </c>
      <c r="X76" s="651">
        <v>604.20000000000005</v>
      </c>
      <c r="Y76" s="651">
        <v>604.20000000000005</v>
      </c>
      <c r="Z76" s="651">
        <v>604.20000000000005</v>
      </c>
      <c r="AA76" s="651">
        <v>604.20000000000005</v>
      </c>
      <c r="AB76" s="651">
        <v>604.20000000000005</v>
      </c>
      <c r="AC76" s="651">
        <v>604.20000000000005</v>
      </c>
    </row>
    <row r="77" spans="2:29" outlineLevel="1">
      <c r="B77" s="314" t="s">
        <v>522</v>
      </c>
      <c r="C77" s="315" t="s">
        <v>1057</v>
      </c>
      <c r="D77" s="315">
        <v>44161</v>
      </c>
      <c r="E77" s="315">
        <v>51466</v>
      </c>
      <c r="F77" s="1197" t="s">
        <v>1058</v>
      </c>
      <c r="G77" s="1197" t="s">
        <v>936</v>
      </c>
      <c r="H77" s="1197" t="s">
        <v>144</v>
      </c>
      <c r="I77" s="1197" t="s">
        <v>937</v>
      </c>
      <c r="J77" s="1196">
        <v>8.7200000000000003E-3</v>
      </c>
      <c r="K77" s="1197" t="s">
        <v>139</v>
      </c>
      <c r="L77" s="651">
        <v>179.12</v>
      </c>
      <c r="M77" s="1197">
        <v>0</v>
      </c>
      <c r="N77" s="316">
        <v>100</v>
      </c>
      <c r="O77" s="315" t="s">
        <v>1059</v>
      </c>
      <c r="P77" s="1197">
        <v>0</v>
      </c>
      <c r="Q77" s="1212">
        <v>0</v>
      </c>
      <c r="R77" s="651">
        <v>179.12</v>
      </c>
      <c r="S77" s="1212">
        <v>0.87365409999999999</v>
      </c>
      <c r="T77" s="651">
        <v>122.8</v>
      </c>
      <c r="U77" s="651">
        <v>122.8</v>
      </c>
      <c r="V77" s="651">
        <v>122.8</v>
      </c>
      <c r="W77" s="651">
        <v>122.8</v>
      </c>
      <c r="X77" s="651">
        <v>122.8</v>
      </c>
      <c r="Y77" s="651">
        <v>122.8</v>
      </c>
      <c r="Z77" s="651">
        <v>122.8</v>
      </c>
      <c r="AA77" s="651">
        <v>122.8</v>
      </c>
      <c r="AB77" s="651">
        <v>122.8</v>
      </c>
      <c r="AC77" s="651">
        <v>122.8</v>
      </c>
    </row>
    <row r="78" spans="2:29" outlineLevel="1">
      <c r="B78" s="314" t="s">
        <v>523</v>
      </c>
      <c r="C78" s="315" t="s">
        <v>1057</v>
      </c>
      <c r="D78" s="315">
        <v>44161</v>
      </c>
      <c r="E78" s="315">
        <v>51466</v>
      </c>
      <c r="F78" s="1197" t="s">
        <v>1060</v>
      </c>
      <c r="G78" s="1197" t="s">
        <v>936</v>
      </c>
      <c r="H78" s="1197" t="s">
        <v>144</v>
      </c>
      <c r="I78" s="1197" t="s">
        <v>937</v>
      </c>
      <c r="J78" s="1196">
        <v>8.7200000000000003E-3</v>
      </c>
      <c r="K78" s="1197" t="s">
        <v>139</v>
      </c>
      <c r="L78" s="651">
        <v>272</v>
      </c>
      <c r="M78" s="1197">
        <v>0</v>
      </c>
      <c r="N78" s="316">
        <v>100</v>
      </c>
      <c r="O78" s="315" t="s">
        <v>1061</v>
      </c>
      <c r="P78" s="1197">
        <v>0</v>
      </c>
      <c r="Q78" s="1212">
        <v>0</v>
      </c>
      <c r="R78" s="651">
        <v>272</v>
      </c>
      <c r="S78" s="1212">
        <v>0.89670024000000004</v>
      </c>
      <c r="T78" s="651">
        <v>252.2</v>
      </c>
      <c r="U78" s="651">
        <v>252.2</v>
      </c>
      <c r="V78" s="651">
        <v>252.2</v>
      </c>
      <c r="W78" s="651">
        <v>252.2</v>
      </c>
      <c r="X78" s="651">
        <v>252.2</v>
      </c>
      <c r="Y78" s="651">
        <v>252.2</v>
      </c>
      <c r="Z78" s="651">
        <v>252.2</v>
      </c>
      <c r="AA78" s="651">
        <v>252.2</v>
      </c>
      <c r="AB78" s="651">
        <v>252.2</v>
      </c>
      <c r="AC78" s="651">
        <v>252.2</v>
      </c>
    </row>
    <row r="79" spans="2:29" outlineLevel="1">
      <c r="B79" s="314" t="s">
        <v>524</v>
      </c>
      <c r="C79" s="315" t="s">
        <v>1062</v>
      </c>
      <c r="D79" s="315">
        <v>44019</v>
      </c>
      <c r="E79" s="315">
        <v>46941</v>
      </c>
      <c r="F79" s="1197" t="s">
        <v>1063</v>
      </c>
      <c r="G79" s="1197" t="s">
        <v>936</v>
      </c>
      <c r="H79" s="1197" t="s">
        <v>144</v>
      </c>
      <c r="I79" s="1197" t="s">
        <v>937</v>
      </c>
      <c r="J79" s="1196">
        <v>1.125E-2</v>
      </c>
      <c r="K79" s="1197" t="s">
        <v>138</v>
      </c>
      <c r="L79" s="651">
        <v>350</v>
      </c>
      <c r="M79" s="1197">
        <v>0</v>
      </c>
      <c r="N79" s="316">
        <v>0</v>
      </c>
      <c r="O79" s="315" t="s">
        <v>937</v>
      </c>
      <c r="P79" s="1197">
        <v>0</v>
      </c>
      <c r="Q79" s="1212">
        <v>0</v>
      </c>
      <c r="R79" s="651">
        <v>350</v>
      </c>
      <c r="S79" s="1212">
        <v>1.18572693</v>
      </c>
      <c r="T79" s="651">
        <v>351</v>
      </c>
      <c r="U79" s="651">
        <v>351</v>
      </c>
      <c r="V79" s="651">
        <v>351</v>
      </c>
      <c r="W79" s="651">
        <v>351</v>
      </c>
      <c r="X79" s="651">
        <v>351</v>
      </c>
      <c r="Y79" s="651">
        <v>351</v>
      </c>
      <c r="Z79" s="651">
        <v>351</v>
      </c>
      <c r="AA79" s="651">
        <v>0</v>
      </c>
      <c r="AB79" s="651">
        <v>0</v>
      </c>
      <c r="AC79" s="651">
        <v>0</v>
      </c>
    </row>
    <row r="80" spans="2:29" outlineLevel="1">
      <c r="B80" s="314" t="s">
        <v>525</v>
      </c>
      <c r="C80" s="315" t="s">
        <v>1064</v>
      </c>
      <c r="D80" s="315">
        <v>44039</v>
      </c>
      <c r="E80" s="315">
        <v>46961</v>
      </c>
      <c r="F80" s="1197" t="s">
        <v>1065</v>
      </c>
      <c r="G80" s="1197" t="s">
        <v>936</v>
      </c>
      <c r="H80" s="1197" t="s">
        <v>144</v>
      </c>
      <c r="I80" s="1197" t="s">
        <v>937</v>
      </c>
      <c r="J80" s="1196">
        <v>1.0444999999999999E-2</v>
      </c>
      <c r="K80" s="1197" t="s">
        <v>138</v>
      </c>
      <c r="L80" s="651">
        <v>100</v>
      </c>
      <c r="M80" s="1197">
        <v>0</v>
      </c>
      <c r="N80" s="316">
        <v>0</v>
      </c>
      <c r="O80" s="315" t="s">
        <v>937</v>
      </c>
      <c r="P80" s="1197">
        <v>0</v>
      </c>
      <c r="Q80" s="1212">
        <v>0</v>
      </c>
      <c r="R80" s="651">
        <v>100</v>
      </c>
      <c r="S80" s="1212">
        <v>1.0437813600000001</v>
      </c>
      <c r="T80" s="651">
        <v>90.4</v>
      </c>
      <c r="U80" s="651">
        <v>90.4</v>
      </c>
      <c r="V80" s="651">
        <v>90.4</v>
      </c>
      <c r="W80" s="651">
        <v>90.4</v>
      </c>
      <c r="X80" s="651">
        <v>90.4</v>
      </c>
      <c r="Y80" s="651">
        <v>90.4</v>
      </c>
      <c r="Z80" s="651">
        <v>90.4</v>
      </c>
      <c r="AA80" s="651">
        <v>0</v>
      </c>
      <c r="AB80" s="651">
        <v>0</v>
      </c>
      <c r="AC80" s="651">
        <v>0</v>
      </c>
    </row>
    <row r="81" spans="2:29" outlineLevel="1">
      <c r="B81" s="314" t="s">
        <v>526</v>
      </c>
      <c r="C81" s="315" t="s">
        <v>1066</v>
      </c>
      <c r="D81" s="315">
        <v>44067</v>
      </c>
      <c r="E81" s="315">
        <v>51372</v>
      </c>
      <c r="F81" s="1197" t="s">
        <v>1067</v>
      </c>
      <c r="G81" s="1197" t="s">
        <v>936</v>
      </c>
      <c r="H81" s="1197" t="s">
        <v>144</v>
      </c>
      <c r="I81" s="1197" t="s">
        <v>937</v>
      </c>
      <c r="J81" s="1196">
        <v>1.6080000000000001E-2</v>
      </c>
      <c r="K81" s="1197" t="s">
        <v>138</v>
      </c>
      <c r="L81" s="651">
        <v>50</v>
      </c>
      <c r="M81" s="1197">
        <v>0</v>
      </c>
      <c r="N81" s="316">
        <v>0</v>
      </c>
      <c r="O81" s="315" t="s">
        <v>937</v>
      </c>
      <c r="P81" s="1197">
        <v>0</v>
      </c>
      <c r="Q81" s="1212">
        <v>0</v>
      </c>
      <c r="R81" s="651">
        <v>50</v>
      </c>
      <c r="S81" s="1212">
        <v>1.6068331899999999</v>
      </c>
      <c r="T81" s="651">
        <v>50.1</v>
      </c>
      <c r="U81" s="651">
        <v>50.1</v>
      </c>
      <c r="V81" s="651">
        <v>50.1</v>
      </c>
      <c r="W81" s="651">
        <v>50.1</v>
      </c>
      <c r="X81" s="651">
        <v>50.1</v>
      </c>
      <c r="Y81" s="651">
        <v>50.1</v>
      </c>
      <c r="Z81" s="651">
        <v>50.1</v>
      </c>
      <c r="AA81" s="651">
        <v>50.1</v>
      </c>
      <c r="AB81" s="651">
        <v>50.1</v>
      </c>
      <c r="AC81" s="651">
        <v>50.1</v>
      </c>
    </row>
    <row r="82" spans="2:29" outlineLevel="1">
      <c r="B82" s="314" t="s">
        <v>527</v>
      </c>
      <c r="C82" s="315" t="s">
        <v>1068</v>
      </c>
      <c r="D82" s="315">
        <v>44357</v>
      </c>
      <c r="E82" s="315">
        <v>49836</v>
      </c>
      <c r="F82" s="1197" t="s">
        <v>1069</v>
      </c>
      <c r="G82" s="1197" t="s">
        <v>936</v>
      </c>
      <c r="H82" s="1197" t="s">
        <v>144</v>
      </c>
      <c r="I82" s="1197" t="s">
        <v>937</v>
      </c>
      <c r="J82" s="1196">
        <v>3.3500000000000002E-2</v>
      </c>
      <c r="K82" s="1197" t="s">
        <v>1021</v>
      </c>
      <c r="L82" s="651">
        <v>55</v>
      </c>
      <c r="M82" s="1197">
        <v>0</v>
      </c>
      <c r="N82" s="316">
        <v>100</v>
      </c>
      <c r="O82" s="315" t="s">
        <v>1070</v>
      </c>
      <c r="P82" s="1197">
        <v>0</v>
      </c>
      <c r="Q82" s="1212">
        <v>0</v>
      </c>
      <c r="R82" s="651">
        <v>55</v>
      </c>
      <c r="S82" s="1212">
        <v>3.3014386399999998</v>
      </c>
      <c r="T82" s="651">
        <v>32.200000000000003</v>
      </c>
      <c r="U82" s="651">
        <v>32.200000000000003</v>
      </c>
      <c r="V82" s="651">
        <v>32.200000000000003</v>
      </c>
      <c r="W82" s="651">
        <v>32.200000000000003</v>
      </c>
      <c r="X82" s="651">
        <v>32.200000000000003</v>
      </c>
      <c r="Y82" s="651">
        <v>32.200000000000003</v>
      </c>
      <c r="Z82" s="651">
        <v>32.200000000000003</v>
      </c>
      <c r="AA82" s="651">
        <v>32.200000000000003</v>
      </c>
      <c r="AB82" s="651">
        <v>32.200000000000003</v>
      </c>
      <c r="AC82" s="651">
        <v>32.200000000000003</v>
      </c>
    </row>
    <row r="83" spans="2:29" outlineLevel="1">
      <c r="B83" s="314" t="s">
        <v>528</v>
      </c>
      <c r="C83" s="315" t="s">
        <v>1071</v>
      </c>
      <c r="D83" s="315">
        <v>44369</v>
      </c>
      <c r="E83" s="315">
        <v>47291</v>
      </c>
      <c r="F83" s="1197" t="s">
        <v>1072</v>
      </c>
      <c r="G83" s="1197" t="s">
        <v>936</v>
      </c>
      <c r="H83" s="1197" t="s">
        <v>144</v>
      </c>
      <c r="I83" s="1197" t="s">
        <v>937</v>
      </c>
      <c r="J83" s="1196">
        <v>2.3009999999999999E-2</v>
      </c>
      <c r="K83" s="1197" t="s">
        <v>142</v>
      </c>
      <c r="L83" s="651">
        <v>850</v>
      </c>
      <c r="M83" s="1197">
        <v>0</v>
      </c>
      <c r="N83" s="316">
        <v>100</v>
      </c>
      <c r="O83" s="315" t="s">
        <v>1073</v>
      </c>
      <c r="P83" s="1197">
        <v>0</v>
      </c>
      <c r="Q83" s="1212">
        <v>0</v>
      </c>
      <c r="R83" s="651">
        <v>850</v>
      </c>
      <c r="S83" s="1212">
        <v>2.2993706</v>
      </c>
      <c r="T83" s="651">
        <v>500.7</v>
      </c>
      <c r="U83" s="651">
        <v>500.7</v>
      </c>
      <c r="V83" s="651">
        <v>500.7</v>
      </c>
      <c r="W83" s="651">
        <v>500.7</v>
      </c>
      <c r="X83" s="651">
        <v>500.7</v>
      </c>
      <c r="Y83" s="651">
        <v>500.7</v>
      </c>
      <c r="Z83" s="651">
        <v>500.7</v>
      </c>
      <c r="AA83" s="651">
        <v>500.7</v>
      </c>
      <c r="AB83" s="651">
        <v>0</v>
      </c>
      <c r="AC83" s="651">
        <v>0</v>
      </c>
    </row>
    <row r="84" spans="2:29" outlineLevel="1">
      <c r="B84" s="314" t="s">
        <v>529</v>
      </c>
      <c r="C84" s="315" t="s">
        <v>1057</v>
      </c>
      <c r="D84" s="315">
        <v>44403</v>
      </c>
      <c r="E84" s="315">
        <v>51466</v>
      </c>
      <c r="F84" s="1197" t="s">
        <v>1074</v>
      </c>
      <c r="G84" s="1197" t="s">
        <v>936</v>
      </c>
      <c r="H84" s="1197" t="s">
        <v>144</v>
      </c>
      <c r="I84" s="1197" t="s">
        <v>937</v>
      </c>
      <c r="J84" s="1196">
        <v>8.7200000000000003E-3</v>
      </c>
      <c r="K84" s="1197" t="s">
        <v>139</v>
      </c>
      <c r="L84" s="651">
        <v>40</v>
      </c>
      <c r="M84" s="1197">
        <v>0</v>
      </c>
      <c r="N84" s="316">
        <v>100</v>
      </c>
      <c r="O84" s="315" t="s">
        <v>1075</v>
      </c>
      <c r="P84" s="1197">
        <v>0</v>
      </c>
      <c r="Q84" s="1212">
        <v>0</v>
      </c>
      <c r="R84" s="651">
        <v>40</v>
      </c>
      <c r="S84" s="1212">
        <v>0.99592164000000005</v>
      </c>
      <c r="T84" s="651">
        <v>26.3</v>
      </c>
      <c r="U84" s="651">
        <v>26.3</v>
      </c>
      <c r="V84" s="651">
        <v>26.3</v>
      </c>
      <c r="W84" s="651">
        <v>26.3</v>
      </c>
      <c r="X84" s="651">
        <v>26.3</v>
      </c>
      <c r="Y84" s="651">
        <v>26.3</v>
      </c>
      <c r="Z84" s="651">
        <v>26.3</v>
      </c>
      <c r="AA84" s="651">
        <v>26.3</v>
      </c>
      <c r="AB84" s="651">
        <v>26.3</v>
      </c>
      <c r="AC84" s="651">
        <v>26.3</v>
      </c>
    </row>
    <row r="85" spans="2:29" outlineLevel="1">
      <c r="B85" s="314" t="s">
        <v>530</v>
      </c>
      <c r="C85" s="315" t="s">
        <v>1076</v>
      </c>
      <c r="D85" s="315">
        <v>44469</v>
      </c>
      <c r="E85" s="315">
        <v>52870</v>
      </c>
      <c r="F85" s="1197" t="s">
        <v>1077</v>
      </c>
      <c r="G85" s="1197" t="s">
        <v>936</v>
      </c>
      <c r="H85" s="1197" t="s">
        <v>144</v>
      </c>
      <c r="I85" s="1197" t="s">
        <v>937</v>
      </c>
      <c r="J85" s="1196">
        <v>2.92E-2</v>
      </c>
      <c r="K85" s="1197" t="s">
        <v>1021</v>
      </c>
      <c r="L85" s="651">
        <v>125</v>
      </c>
      <c r="M85" s="1197">
        <v>0</v>
      </c>
      <c r="N85" s="316">
        <v>100</v>
      </c>
      <c r="O85" s="315" t="s">
        <v>1075</v>
      </c>
      <c r="P85" s="1197">
        <v>0</v>
      </c>
      <c r="Q85" s="1212">
        <v>0</v>
      </c>
      <c r="R85" s="651">
        <v>125</v>
      </c>
      <c r="S85" s="1212">
        <v>2.8778982599999998</v>
      </c>
      <c r="T85" s="651">
        <v>53.1</v>
      </c>
      <c r="U85" s="651">
        <v>53.1</v>
      </c>
      <c r="V85" s="651">
        <v>53.1</v>
      </c>
      <c r="W85" s="651">
        <v>53.1</v>
      </c>
      <c r="X85" s="651">
        <v>53.1</v>
      </c>
      <c r="Y85" s="651">
        <v>53.1</v>
      </c>
      <c r="Z85" s="651">
        <v>53.1</v>
      </c>
      <c r="AA85" s="651">
        <v>53.1</v>
      </c>
      <c r="AB85" s="651">
        <v>53.1</v>
      </c>
      <c r="AC85" s="651">
        <v>53.1</v>
      </c>
    </row>
    <row r="86" spans="2:29" outlineLevel="1">
      <c r="B86" s="314" t="s">
        <v>531</v>
      </c>
      <c r="C86" s="315" t="s">
        <v>1078</v>
      </c>
      <c r="D86" s="315">
        <v>44455</v>
      </c>
      <c r="E86" s="315">
        <v>51760</v>
      </c>
      <c r="F86" s="1197" t="s">
        <v>1079</v>
      </c>
      <c r="G86" s="1197" t="s">
        <v>936</v>
      </c>
      <c r="H86" s="1197" t="s">
        <v>144</v>
      </c>
      <c r="I86" s="1197" t="s">
        <v>937</v>
      </c>
      <c r="J86" s="1196">
        <v>1.6899999999999998E-2</v>
      </c>
      <c r="K86" s="1197" t="s">
        <v>138</v>
      </c>
      <c r="L86" s="651">
        <v>50</v>
      </c>
      <c r="M86" s="1197">
        <v>0</v>
      </c>
      <c r="N86" s="316">
        <v>0</v>
      </c>
      <c r="O86" s="315" t="s">
        <v>937</v>
      </c>
      <c r="P86" s="1197">
        <v>0</v>
      </c>
      <c r="Q86" s="1212">
        <v>0</v>
      </c>
      <c r="R86" s="651">
        <v>50</v>
      </c>
      <c r="S86" s="1212">
        <v>1.7105638400000001</v>
      </c>
      <c r="T86" s="651">
        <v>50.3</v>
      </c>
      <c r="U86" s="651">
        <v>50.3</v>
      </c>
      <c r="V86" s="651">
        <v>50.3</v>
      </c>
      <c r="W86" s="651">
        <v>50.3</v>
      </c>
      <c r="X86" s="651">
        <v>50.3</v>
      </c>
      <c r="Y86" s="651">
        <v>50.3</v>
      </c>
      <c r="Z86" s="651">
        <v>50.3</v>
      </c>
      <c r="AA86" s="651">
        <v>50.3</v>
      </c>
      <c r="AB86" s="651">
        <v>50.3</v>
      </c>
      <c r="AC86" s="651">
        <v>50.3</v>
      </c>
    </row>
    <row r="87" spans="2:29" outlineLevel="1">
      <c r="B87" s="314" t="s">
        <v>532</v>
      </c>
      <c r="C87" s="315" t="s">
        <v>1057</v>
      </c>
      <c r="D87" s="315">
        <v>44642</v>
      </c>
      <c r="E87" s="315">
        <v>51466</v>
      </c>
      <c r="F87" s="1197" t="s">
        <v>1080</v>
      </c>
      <c r="G87" s="1197" t="s">
        <v>936</v>
      </c>
      <c r="H87" s="1197" t="s">
        <v>144</v>
      </c>
      <c r="I87" s="1197" t="s">
        <v>937</v>
      </c>
      <c r="J87" s="1196">
        <v>8.7200000000000003E-3</v>
      </c>
      <c r="K87" s="1197" t="s">
        <v>139</v>
      </c>
      <c r="L87" s="651">
        <v>100</v>
      </c>
      <c r="M87" s="1197">
        <v>0</v>
      </c>
      <c r="N87" s="316">
        <v>100</v>
      </c>
      <c r="O87" s="315" t="s">
        <v>1075</v>
      </c>
      <c r="P87" s="1197">
        <v>0</v>
      </c>
      <c r="Q87" s="1212">
        <v>0</v>
      </c>
      <c r="R87" s="651">
        <v>100</v>
      </c>
      <c r="S87" s="1212">
        <v>2.4754334499999997</v>
      </c>
      <c r="T87" s="651">
        <v>64.599999999999994</v>
      </c>
      <c r="U87" s="651">
        <v>64.599999999999994</v>
      </c>
      <c r="V87" s="651">
        <v>64.599999999999994</v>
      </c>
      <c r="W87" s="651">
        <v>64.599999999999994</v>
      </c>
      <c r="X87" s="651">
        <v>64.599999999999994</v>
      </c>
      <c r="Y87" s="651">
        <v>64.599999999999994</v>
      </c>
      <c r="Z87" s="651">
        <v>64.599999999999994</v>
      </c>
      <c r="AA87" s="651">
        <v>64.599999999999994</v>
      </c>
      <c r="AB87" s="651">
        <v>64.599999999999994</v>
      </c>
      <c r="AC87" s="651">
        <v>64.599999999999994</v>
      </c>
    </row>
    <row r="88" spans="2:29" outlineLevel="1">
      <c r="B88" s="314"/>
      <c r="C88" s="1446" t="s">
        <v>649</v>
      </c>
      <c r="D88" s="1447"/>
      <c r="E88" s="1447"/>
      <c r="F88" s="1447"/>
      <c r="G88" s="1447"/>
      <c r="H88" s="1447"/>
      <c r="I88" s="1447"/>
      <c r="J88" s="1447"/>
      <c r="K88" s="1447"/>
      <c r="L88" s="1447"/>
      <c r="M88" s="1447"/>
      <c r="N88" s="1447"/>
      <c r="O88" s="1447"/>
      <c r="P88" s="1447"/>
      <c r="Q88" s="1447"/>
      <c r="R88" s="1447"/>
      <c r="S88" s="1448"/>
      <c r="T88" s="651">
        <v>0</v>
      </c>
      <c r="U88" s="651">
        <v>0</v>
      </c>
      <c r="V88" s="651">
        <v>0</v>
      </c>
      <c r="W88" s="651">
        <v>0</v>
      </c>
      <c r="X88" s="651">
        <v>0</v>
      </c>
      <c r="Y88" s="651">
        <v>0</v>
      </c>
      <c r="Z88" s="651">
        <v>0</v>
      </c>
      <c r="AA88" s="651">
        <v>0</v>
      </c>
      <c r="AB88" s="651">
        <v>0</v>
      </c>
      <c r="AC88" s="651">
        <v>0</v>
      </c>
    </row>
    <row r="89" spans="2:29" outlineLevel="1">
      <c r="B89" s="314"/>
      <c r="C89" s="1446" t="s">
        <v>649</v>
      </c>
      <c r="D89" s="1447"/>
      <c r="E89" s="1447"/>
      <c r="F89" s="1447"/>
      <c r="G89" s="1447"/>
      <c r="H89" s="1447"/>
      <c r="I89" s="1447"/>
      <c r="J89" s="1447"/>
      <c r="K89" s="1447"/>
      <c r="L89" s="1447"/>
      <c r="M89" s="1447"/>
      <c r="N89" s="1447"/>
      <c r="O89" s="1447"/>
      <c r="P89" s="1447"/>
      <c r="Q89" s="1447"/>
      <c r="R89" s="1447"/>
      <c r="S89" s="1448"/>
      <c r="T89" s="651">
        <v>0</v>
      </c>
      <c r="U89" s="651">
        <v>0</v>
      </c>
      <c r="V89" s="651">
        <v>0</v>
      </c>
      <c r="W89" s="651">
        <v>0</v>
      </c>
      <c r="X89" s="651">
        <v>0</v>
      </c>
      <c r="Y89" s="651">
        <v>0</v>
      </c>
      <c r="Z89" s="651">
        <v>0</v>
      </c>
      <c r="AA89" s="651">
        <v>0</v>
      </c>
      <c r="AB89" s="651">
        <v>0</v>
      </c>
      <c r="AC89" s="651">
        <v>0</v>
      </c>
    </row>
    <row r="90" spans="2:29" outlineLevel="1">
      <c r="B90" s="314"/>
      <c r="C90" s="1446" t="s">
        <v>649</v>
      </c>
      <c r="D90" s="1447"/>
      <c r="E90" s="1447"/>
      <c r="F90" s="1447"/>
      <c r="G90" s="1447"/>
      <c r="H90" s="1447"/>
      <c r="I90" s="1447"/>
      <c r="J90" s="1447"/>
      <c r="K90" s="1447"/>
      <c r="L90" s="1447"/>
      <c r="M90" s="1447"/>
      <c r="N90" s="1447"/>
      <c r="O90" s="1447"/>
      <c r="P90" s="1447"/>
      <c r="Q90" s="1447"/>
      <c r="R90" s="1447"/>
      <c r="S90" s="1448"/>
      <c r="T90" s="651">
        <v>0</v>
      </c>
      <c r="U90" s="651">
        <v>0</v>
      </c>
      <c r="V90" s="651">
        <v>0</v>
      </c>
      <c r="W90" s="651">
        <v>0</v>
      </c>
      <c r="X90" s="651">
        <v>0</v>
      </c>
      <c r="Y90" s="651">
        <v>0</v>
      </c>
      <c r="Z90" s="651">
        <v>0</v>
      </c>
      <c r="AA90" s="651">
        <v>0</v>
      </c>
      <c r="AB90" s="651">
        <v>0</v>
      </c>
      <c r="AC90" s="651">
        <v>0</v>
      </c>
    </row>
    <row r="91" spans="2:29" outlineLevel="1">
      <c r="B91" s="314"/>
      <c r="C91" s="1446" t="s">
        <v>649</v>
      </c>
      <c r="D91" s="1447"/>
      <c r="E91" s="1447"/>
      <c r="F91" s="1447"/>
      <c r="G91" s="1447"/>
      <c r="H91" s="1447"/>
      <c r="I91" s="1447"/>
      <c r="J91" s="1447"/>
      <c r="K91" s="1447"/>
      <c r="L91" s="1447"/>
      <c r="M91" s="1447"/>
      <c r="N91" s="1447"/>
      <c r="O91" s="1447"/>
      <c r="P91" s="1447"/>
      <c r="Q91" s="1447"/>
      <c r="R91" s="1447"/>
      <c r="S91" s="1448"/>
      <c r="T91" s="651">
        <v>0</v>
      </c>
      <c r="U91" s="651">
        <v>0</v>
      </c>
      <c r="V91" s="651">
        <v>0</v>
      </c>
      <c r="W91" s="651">
        <v>0</v>
      </c>
      <c r="X91" s="651">
        <v>0</v>
      </c>
      <c r="Y91" s="651">
        <v>0</v>
      </c>
      <c r="Z91" s="651">
        <v>0</v>
      </c>
      <c r="AA91" s="651">
        <v>0</v>
      </c>
      <c r="AB91" s="651">
        <v>0</v>
      </c>
      <c r="AC91" s="651">
        <v>0</v>
      </c>
    </row>
    <row r="92" spans="2:29" outlineLevel="1">
      <c r="B92" s="550"/>
      <c r="C92" s="1446" t="s">
        <v>649</v>
      </c>
      <c r="D92" s="1447"/>
      <c r="E92" s="1447"/>
      <c r="F92" s="1447"/>
      <c r="G92" s="1447"/>
      <c r="H92" s="1447"/>
      <c r="I92" s="1447"/>
      <c r="J92" s="1447"/>
      <c r="K92" s="1447"/>
      <c r="L92" s="1447"/>
      <c r="M92" s="1447"/>
      <c r="N92" s="1447"/>
      <c r="O92" s="1447"/>
      <c r="P92" s="1447"/>
      <c r="Q92" s="1447"/>
      <c r="R92" s="1447"/>
      <c r="S92" s="1448"/>
      <c r="T92" s="492"/>
      <c r="U92" s="493"/>
      <c r="V92" s="493"/>
      <c r="W92" s="493"/>
      <c r="X92" s="493"/>
      <c r="Y92" s="493"/>
      <c r="Z92" s="493"/>
      <c r="AA92" s="494"/>
      <c r="AB92" s="495"/>
      <c r="AC92" s="493"/>
    </row>
    <row r="93" spans="2:29" outlineLevel="1">
      <c r="AB93" s="283"/>
    </row>
    <row r="94" spans="2:29" outlineLevel="1">
      <c r="F94" s="150" t="s">
        <v>798</v>
      </c>
      <c r="G94" s="150"/>
      <c r="H94" s="150"/>
      <c r="I94" s="150"/>
      <c r="P94" s="551"/>
      <c r="AB94" s="283"/>
    </row>
    <row r="95" spans="2:29" s="510" customFormat="1" ht="54.75" customHeight="1" outlineLevel="1">
      <c r="B95" s="788"/>
      <c r="C95" s="789" t="s">
        <v>1081</v>
      </c>
      <c r="D95" s="777" t="s">
        <v>599</v>
      </c>
      <c r="E95" s="777" t="s">
        <v>600</v>
      </c>
      <c r="F95" s="777" t="s">
        <v>575</v>
      </c>
      <c r="G95" s="777" t="s">
        <v>1082</v>
      </c>
      <c r="H95" s="789" t="s">
        <v>922</v>
      </c>
      <c r="I95" s="789" t="s">
        <v>129</v>
      </c>
      <c r="J95" s="789" t="s">
        <v>1083</v>
      </c>
      <c r="K95" s="789" t="s">
        <v>924</v>
      </c>
      <c r="L95" s="789" t="s">
        <v>1084</v>
      </c>
      <c r="M95" s="789" t="s">
        <v>926</v>
      </c>
      <c r="N95" s="789" t="s">
        <v>927</v>
      </c>
      <c r="O95" s="789" t="s">
        <v>928</v>
      </c>
      <c r="P95" s="789" t="s">
        <v>150</v>
      </c>
      <c r="Q95" s="789" t="s">
        <v>929</v>
      </c>
      <c r="R95" s="790" t="s">
        <v>153</v>
      </c>
      <c r="S95" s="789" t="s">
        <v>1085</v>
      </c>
      <c r="AB95" s="511"/>
    </row>
    <row r="96" spans="2:29" ht="40.5" outlineLevel="1">
      <c r="B96" s="345" t="s">
        <v>468</v>
      </c>
      <c r="C96" s="570"/>
      <c r="D96" s="512" t="s">
        <v>602</v>
      </c>
      <c r="E96" s="512" t="s">
        <v>602</v>
      </c>
      <c r="F96" s="509"/>
      <c r="G96" s="512"/>
      <c r="H96" s="512"/>
      <c r="I96" s="513"/>
      <c r="J96" s="512" t="s">
        <v>1086</v>
      </c>
      <c r="K96" s="514" t="s">
        <v>1087</v>
      </c>
      <c r="L96" s="514" t="s">
        <v>469</v>
      </c>
      <c r="M96" s="514" t="s">
        <v>469</v>
      </c>
      <c r="N96" s="514" t="s">
        <v>225</v>
      </c>
      <c r="O96" s="514" t="s">
        <v>933</v>
      </c>
      <c r="P96" s="514"/>
      <c r="Q96" s="514"/>
      <c r="R96" s="515"/>
      <c r="S96" s="514" t="s">
        <v>469</v>
      </c>
      <c r="T96" s="196" t="s">
        <v>469</v>
      </c>
      <c r="U96" s="197" t="s">
        <v>469</v>
      </c>
      <c r="V96" s="197" t="s">
        <v>469</v>
      </c>
      <c r="W96" s="197" t="s">
        <v>469</v>
      </c>
      <c r="X96" s="197" t="s">
        <v>469</v>
      </c>
      <c r="Y96" s="197" t="s">
        <v>469</v>
      </c>
      <c r="Z96" s="197" t="s">
        <v>469</v>
      </c>
      <c r="AA96" s="278" t="s">
        <v>469</v>
      </c>
      <c r="AB96" s="296" t="s">
        <v>469</v>
      </c>
      <c r="AC96" s="197" t="s">
        <v>469</v>
      </c>
    </row>
    <row r="97" spans="2:29" outlineLevel="1">
      <c r="B97" s="314" t="s">
        <v>536</v>
      </c>
      <c r="C97" s="315" t="s">
        <v>1088</v>
      </c>
      <c r="D97" s="315">
        <v>42692</v>
      </c>
      <c r="E97" s="315">
        <v>46344</v>
      </c>
      <c r="F97" s="1213" t="s">
        <v>1089</v>
      </c>
      <c r="G97" s="315" t="s">
        <v>936</v>
      </c>
      <c r="H97" s="315" t="s">
        <v>144</v>
      </c>
      <c r="I97" s="315" t="s">
        <v>937</v>
      </c>
      <c r="J97" s="1214">
        <v>1.8970000000000001E-2</v>
      </c>
      <c r="K97" s="315" t="s">
        <v>138</v>
      </c>
      <c r="L97" s="1215">
        <v>300</v>
      </c>
      <c r="M97" s="1215">
        <v>0</v>
      </c>
      <c r="N97" s="1214">
        <v>0</v>
      </c>
      <c r="O97" s="315" t="s">
        <v>937</v>
      </c>
      <c r="P97" s="315"/>
      <c r="Q97" s="1212">
        <v>0</v>
      </c>
      <c r="R97" s="315"/>
      <c r="S97" s="651" t="s">
        <v>937</v>
      </c>
      <c r="T97" s="491">
        <v>302.10000000000002</v>
      </c>
      <c r="U97" s="491">
        <v>302.10000000000002</v>
      </c>
      <c r="V97" s="491">
        <v>302.10000000000002</v>
      </c>
      <c r="W97" s="491">
        <v>302.10000000000002</v>
      </c>
      <c r="X97" s="491">
        <v>302.10000000000002</v>
      </c>
      <c r="Y97" s="491">
        <v>0</v>
      </c>
      <c r="Z97" s="491">
        <v>0</v>
      </c>
      <c r="AA97" s="491">
        <v>0</v>
      </c>
      <c r="AB97" s="491">
        <v>0</v>
      </c>
      <c r="AC97" s="491">
        <v>0</v>
      </c>
    </row>
    <row r="98" spans="2:29" outlineLevel="1">
      <c r="B98" s="314" t="s">
        <v>537</v>
      </c>
      <c r="C98" s="315" t="s">
        <v>1088</v>
      </c>
      <c r="D98" s="315">
        <v>42710</v>
      </c>
      <c r="E98" s="315">
        <v>46362</v>
      </c>
      <c r="F98" s="1213" t="s">
        <v>1090</v>
      </c>
      <c r="G98" s="315" t="s">
        <v>127</v>
      </c>
      <c r="H98" s="315" t="s">
        <v>144</v>
      </c>
      <c r="I98" s="315" t="s">
        <v>132</v>
      </c>
      <c r="J98" s="1214">
        <v>6.9800000000000001E-3</v>
      </c>
      <c r="K98" s="315" t="s">
        <v>138</v>
      </c>
      <c r="L98" s="1215">
        <v>300</v>
      </c>
      <c r="M98" s="1215">
        <v>0</v>
      </c>
      <c r="N98" s="1214">
        <v>0</v>
      </c>
      <c r="O98" s="315" t="s">
        <v>937</v>
      </c>
      <c r="P98" s="315"/>
      <c r="Q98" s="1212">
        <v>0</v>
      </c>
      <c r="R98" s="315"/>
      <c r="S98" s="651" t="s">
        <v>937</v>
      </c>
      <c r="T98" s="491">
        <v>300.89999999999998</v>
      </c>
      <c r="U98" s="491">
        <v>300.89999999999998</v>
      </c>
      <c r="V98" s="491">
        <v>300.89999999999998</v>
      </c>
      <c r="W98" s="491">
        <v>300.89999999999998</v>
      </c>
      <c r="X98" s="491">
        <v>300.89999999999998</v>
      </c>
      <c r="Y98" s="491">
        <v>0</v>
      </c>
      <c r="Z98" s="491">
        <v>0</v>
      </c>
      <c r="AA98" s="491">
        <v>0</v>
      </c>
      <c r="AB98" s="491">
        <v>0</v>
      </c>
      <c r="AC98" s="491">
        <v>0</v>
      </c>
    </row>
    <row r="99" spans="2:29" outlineLevel="1">
      <c r="B99" s="314" t="s">
        <v>539</v>
      </c>
      <c r="C99" s="315" t="s">
        <v>1088</v>
      </c>
      <c r="D99" s="315">
        <v>41290</v>
      </c>
      <c r="E99" s="315">
        <v>44942</v>
      </c>
      <c r="F99" s="1213" t="s">
        <v>1091</v>
      </c>
      <c r="G99" s="315" t="s">
        <v>969</v>
      </c>
      <c r="H99" s="315" t="s">
        <v>144</v>
      </c>
      <c r="I99" s="315" t="s">
        <v>135</v>
      </c>
      <c r="J99" s="1214">
        <v>0.01</v>
      </c>
      <c r="K99" s="315" t="s">
        <v>138</v>
      </c>
      <c r="L99" s="1215">
        <v>100</v>
      </c>
      <c r="M99" s="1215">
        <v>0</v>
      </c>
      <c r="N99" s="1214">
        <v>0</v>
      </c>
      <c r="O99" s="315" t="s">
        <v>937</v>
      </c>
      <c r="P99" s="315"/>
      <c r="Q99" s="1212">
        <v>245.6</v>
      </c>
      <c r="R99" s="315"/>
      <c r="S99" s="651" t="s">
        <v>937</v>
      </c>
      <c r="T99" s="491">
        <v>131.69999999999999</v>
      </c>
      <c r="U99" s="491">
        <v>0</v>
      </c>
      <c r="V99" s="491">
        <v>0</v>
      </c>
      <c r="W99" s="491">
        <v>0</v>
      </c>
      <c r="X99" s="491">
        <v>0</v>
      </c>
      <c r="Y99" s="491">
        <v>0</v>
      </c>
      <c r="Z99" s="491">
        <v>0</v>
      </c>
      <c r="AA99" s="491">
        <v>0</v>
      </c>
      <c r="AB99" s="491">
        <v>0</v>
      </c>
      <c r="AC99" s="491">
        <v>0</v>
      </c>
    </row>
    <row r="100" spans="2:29" outlineLevel="1">
      <c r="B100" s="314" t="s">
        <v>540</v>
      </c>
      <c r="C100" s="315" t="s">
        <v>1088</v>
      </c>
      <c r="D100" s="315">
        <v>42207</v>
      </c>
      <c r="E100" s="315">
        <v>48782</v>
      </c>
      <c r="F100" s="1213" t="s">
        <v>1092</v>
      </c>
      <c r="G100" s="315" t="s">
        <v>969</v>
      </c>
      <c r="H100" s="315" t="s">
        <v>144</v>
      </c>
      <c r="I100" s="315" t="s">
        <v>135</v>
      </c>
      <c r="J100" s="1214">
        <v>0</v>
      </c>
      <c r="K100" s="315" t="s">
        <v>138</v>
      </c>
      <c r="L100" s="1215">
        <v>150</v>
      </c>
      <c r="M100" s="1215">
        <v>0</v>
      </c>
      <c r="N100" s="1214">
        <v>0</v>
      </c>
      <c r="O100" s="315" t="s">
        <v>937</v>
      </c>
      <c r="P100" s="315"/>
      <c r="Q100" s="1212">
        <v>258.33870999999999</v>
      </c>
      <c r="R100" s="315"/>
      <c r="S100" s="651" t="s">
        <v>937</v>
      </c>
      <c r="T100" s="491">
        <v>134.19999999999999</v>
      </c>
      <c r="U100" s="491">
        <v>133</v>
      </c>
      <c r="V100" s="491">
        <v>126.4</v>
      </c>
      <c r="W100" s="491">
        <v>116.6</v>
      </c>
      <c r="X100" s="491">
        <v>106.4</v>
      </c>
      <c r="Y100" s="491">
        <v>100</v>
      </c>
      <c r="Z100" s="491">
        <v>88.3</v>
      </c>
      <c r="AA100" s="491">
        <v>75.900000000000006</v>
      </c>
      <c r="AB100" s="491">
        <v>62.6</v>
      </c>
      <c r="AC100" s="491">
        <v>48.5</v>
      </c>
    </row>
    <row r="101" spans="2:29" outlineLevel="1">
      <c r="B101" s="314" t="s">
        <v>541</v>
      </c>
      <c r="C101" s="315" t="s">
        <v>1088</v>
      </c>
      <c r="D101" s="315">
        <v>42220</v>
      </c>
      <c r="E101" s="315">
        <v>48795</v>
      </c>
      <c r="F101" s="1213" t="s">
        <v>1093</v>
      </c>
      <c r="G101" s="315" t="s">
        <v>969</v>
      </c>
      <c r="H101" s="315" t="s">
        <v>144</v>
      </c>
      <c r="I101" s="315" t="s">
        <v>135</v>
      </c>
      <c r="J101" s="1214">
        <v>0</v>
      </c>
      <c r="K101" s="315" t="s">
        <v>138</v>
      </c>
      <c r="L101" s="1215">
        <v>150</v>
      </c>
      <c r="M101" s="1215">
        <v>0</v>
      </c>
      <c r="N101" s="1214">
        <v>0</v>
      </c>
      <c r="O101" s="315" t="s">
        <v>937</v>
      </c>
      <c r="P101" s="315"/>
      <c r="Q101" s="1212">
        <v>258.53870999999998</v>
      </c>
      <c r="R101" s="315"/>
      <c r="S101" s="651" t="s">
        <v>937</v>
      </c>
      <c r="T101" s="491">
        <v>133.9</v>
      </c>
      <c r="U101" s="491">
        <v>132.5</v>
      </c>
      <c r="V101" s="491">
        <v>126</v>
      </c>
      <c r="W101" s="491">
        <v>116.1</v>
      </c>
      <c r="X101" s="491">
        <v>105.8</v>
      </c>
      <c r="Y101" s="491">
        <v>99.4</v>
      </c>
      <c r="Z101" s="491">
        <v>87.7</v>
      </c>
      <c r="AA101" s="491">
        <v>75.2</v>
      </c>
      <c r="AB101" s="491">
        <v>61.9</v>
      </c>
      <c r="AC101" s="491">
        <v>47.7</v>
      </c>
    </row>
    <row r="102" spans="2:29" outlineLevel="1">
      <c r="B102" s="314" t="s">
        <v>542</v>
      </c>
      <c r="C102" s="315" t="s">
        <v>1088</v>
      </c>
      <c r="D102" s="315">
        <v>42360</v>
      </c>
      <c r="E102" s="315">
        <v>48935</v>
      </c>
      <c r="F102" s="1213" t="s">
        <v>1094</v>
      </c>
      <c r="G102" s="315" t="s">
        <v>969</v>
      </c>
      <c r="H102" s="315" t="s">
        <v>144</v>
      </c>
      <c r="I102" s="315" t="s">
        <v>135</v>
      </c>
      <c r="J102" s="1214">
        <v>0</v>
      </c>
      <c r="K102" s="315" t="s">
        <v>138</v>
      </c>
      <c r="L102" s="1215">
        <v>300</v>
      </c>
      <c r="M102" s="1215">
        <v>0</v>
      </c>
      <c r="N102" s="1214">
        <v>0</v>
      </c>
      <c r="O102" s="315" t="s">
        <v>937</v>
      </c>
      <c r="P102" s="315"/>
      <c r="Q102" s="1212">
        <v>259.53226000000001</v>
      </c>
      <c r="R102" s="315"/>
      <c r="S102" s="651" t="s">
        <v>937</v>
      </c>
      <c r="T102" s="491">
        <v>278.89999999999998</v>
      </c>
      <c r="U102" s="491">
        <v>277.5</v>
      </c>
      <c r="V102" s="491">
        <v>265.3</v>
      </c>
      <c r="W102" s="491">
        <v>246.3</v>
      </c>
      <c r="X102" s="491">
        <v>226.4</v>
      </c>
      <c r="Y102" s="491">
        <v>215</v>
      </c>
      <c r="Z102" s="491">
        <v>192.5</v>
      </c>
      <c r="AA102" s="491">
        <v>168.4</v>
      </c>
      <c r="AB102" s="491">
        <v>142.69999999999999</v>
      </c>
      <c r="AC102" s="491">
        <v>115.4</v>
      </c>
    </row>
    <row r="103" spans="2:29" outlineLevel="1">
      <c r="B103" s="314" t="s">
        <v>543</v>
      </c>
      <c r="C103" s="315" t="s">
        <v>1088</v>
      </c>
      <c r="D103" s="315">
        <v>42543</v>
      </c>
      <c r="E103" s="315">
        <v>49117</v>
      </c>
      <c r="F103" s="1213" t="s">
        <v>1095</v>
      </c>
      <c r="G103" s="315" t="s">
        <v>969</v>
      </c>
      <c r="H103" s="315" t="s">
        <v>144</v>
      </c>
      <c r="I103" s="315" t="s">
        <v>135</v>
      </c>
      <c r="J103" s="1214">
        <v>0</v>
      </c>
      <c r="K103" s="315" t="s">
        <v>138</v>
      </c>
      <c r="L103" s="1215">
        <v>300</v>
      </c>
      <c r="M103" s="1215">
        <v>0</v>
      </c>
      <c r="N103" s="1214">
        <v>0</v>
      </c>
      <c r="O103" s="315" t="s">
        <v>937</v>
      </c>
      <c r="P103" s="315"/>
      <c r="Q103" s="1212">
        <v>261.31</v>
      </c>
      <c r="R103" s="315"/>
      <c r="S103" s="651" t="s">
        <v>937</v>
      </c>
      <c r="T103" s="491">
        <v>288.60000000000002</v>
      </c>
      <c r="U103" s="491">
        <v>288.10000000000002</v>
      </c>
      <c r="V103" s="491">
        <v>276.5</v>
      </c>
      <c r="W103" s="491">
        <v>258</v>
      </c>
      <c r="X103" s="491">
        <v>238.6</v>
      </c>
      <c r="Y103" s="491">
        <v>228.2</v>
      </c>
      <c r="Z103" s="491">
        <v>206.3</v>
      </c>
      <c r="AA103" s="491">
        <v>182.9</v>
      </c>
      <c r="AB103" s="491">
        <v>157.80000000000001</v>
      </c>
      <c r="AC103" s="491">
        <v>131.1</v>
      </c>
    </row>
    <row r="104" spans="2:29" outlineLevel="1">
      <c r="B104" s="314" t="s">
        <v>545</v>
      </c>
      <c r="C104" s="315">
        <v>0</v>
      </c>
      <c r="D104" s="315">
        <v>0</v>
      </c>
      <c r="E104" s="315">
        <v>0</v>
      </c>
      <c r="F104" s="1213" t="s">
        <v>1096</v>
      </c>
      <c r="G104" s="315">
        <v>0</v>
      </c>
      <c r="H104" s="315">
        <v>0</v>
      </c>
      <c r="I104" s="315">
        <v>0</v>
      </c>
      <c r="J104" s="1214">
        <v>0</v>
      </c>
      <c r="K104" s="315">
        <v>0</v>
      </c>
      <c r="L104" s="1215">
        <v>0</v>
      </c>
      <c r="M104" s="1215">
        <v>0</v>
      </c>
      <c r="N104" s="1214">
        <v>0</v>
      </c>
      <c r="O104" s="315">
        <v>0</v>
      </c>
      <c r="P104" s="315"/>
      <c r="Q104" s="1212">
        <v>0</v>
      </c>
      <c r="R104" s="315"/>
      <c r="S104" s="651">
        <v>0</v>
      </c>
      <c r="T104" s="491">
        <v>65</v>
      </c>
      <c r="U104" s="491">
        <v>65</v>
      </c>
      <c r="V104" s="491">
        <v>65</v>
      </c>
      <c r="W104" s="491">
        <v>65</v>
      </c>
      <c r="X104" s="491">
        <v>65</v>
      </c>
      <c r="Y104" s="491">
        <v>65</v>
      </c>
      <c r="Z104" s="491">
        <v>65</v>
      </c>
      <c r="AA104" s="491">
        <v>65</v>
      </c>
      <c r="AB104" s="491">
        <v>65</v>
      </c>
      <c r="AC104" s="491">
        <v>65</v>
      </c>
    </row>
    <row r="105" spans="2:29" outlineLevel="1">
      <c r="B105" s="314" t="s">
        <v>1097</v>
      </c>
      <c r="C105" s="315"/>
      <c r="D105" s="315"/>
      <c r="E105" s="315"/>
      <c r="F105" s="315"/>
      <c r="G105" s="315"/>
      <c r="H105" s="315"/>
      <c r="I105" s="315"/>
      <c r="J105" s="1214"/>
      <c r="K105" s="315"/>
      <c r="L105" s="1215"/>
      <c r="M105" s="1215"/>
      <c r="N105" s="1214"/>
      <c r="O105" s="315"/>
      <c r="P105" s="315"/>
      <c r="Q105" s="1212"/>
      <c r="R105" s="315"/>
      <c r="S105" s="651"/>
      <c r="T105" s="491"/>
      <c r="U105" s="491"/>
      <c r="V105" s="491"/>
      <c r="W105" s="491"/>
      <c r="X105" s="491"/>
      <c r="Y105" s="491"/>
      <c r="Z105" s="491"/>
      <c r="AA105" s="491"/>
      <c r="AB105" s="491"/>
      <c r="AC105" s="491"/>
    </row>
    <row r="106" spans="2:29" outlineLevel="1">
      <c r="B106" s="314" t="s">
        <v>1097</v>
      </c>
      <c r="C106" s="315"/>
      <c r="D106" s="315"/>
      <c r="E106" s="315"/>
      <c r="F106" s="315"/>
      <c r="G106" s="315"/>
      <c r="H106" s="315"/>
      <c r="I106" s="315"/>
      <c r="J106" s="1214"/>
      <c r="K106" s="315"/>
      <c r="L106" s="1215"/>
      <c r="M106" s="1215"/>
      <c r="N106" s="1214"/>
      <c r="O106" s="315"/>
      <c r="P106" s="315"/>
      <c r="Q106" s="315"/>
      <c r="R106" s="315"/>
      <c r="S106" s="651"/>
      <c r="T106" s="491"/>
      <c r="U106" s="491"/>
      <c r="V106" s="491"/>
      <c r="W106" s="491"/>
      <c r="X106" s="491"/>
      <c r="Y106" s="491"/>
      <c r="Z106" s="491"/>
      <c r="AA106" s="491"/>
      <c r="AB106" s="491"/>
      <c r="AC106" s="491"/>
    </row>
    <row r="107" spans="2:29" outlineLevel="1">
      <c r="B107" s="314" t="s">
        <v>1097</v>
      </c>
      <c r="C107" s="315"/>
      <c r="D107" s="315"/>
      <c r="E107" s="315"/>
      <c r="F107" s="315"/>
      <c r="G107" s="315"/>
      <c r="H107" s="315"/>
      <c r="I107" s="315"/>
      <c r="J107" s="1214"/>
      <c r="K107" s="315"/>
      <c r="L107" s="1215"/>
      <c r="M107" s="1215"/>
      <c r="N107" s="1214"/>
      <c r="O107" s="315"/>
      <c r="P107" s="315"/>
      <c r="Q107" s="315"/>
      <c r="R107" s="315"/>
      <c r="S107" s="651"/>
      <c r="T107" s="491"/>
      <c r="U107" s="491"/>
      <c r="V107" s="491"/>
      <c r="W107" s="491"/>
      <c r="X107" s="491"/>
      <c r="Y107" s="491"/>
      <c r="Z107" s="491"/>
      <c r="AA107" s="491"/>
      <c r="AB107" s="491"/>
      <c r="AC107" s="491"/>
    </row>
    <row r="108" spans="2:29" outlineLevel="1">
      <c r="B108" s="314" t="s">
        <v>1097</v>
      </c>
      <c r="C108" s="315"/>
      <c r="D108" s="315"/>
      <c r="E108" s="315"/>
      <c r="F108" s="315"/>
      <c r="G108" s="315"/>
      <c r="H108" s="315"/>
      <c r="I108" s="315"/>
      <c r="J108" s="1214"/>
      <c r="K108" s="315"/>
      <c r="L108" s="315"/>
      <c r="M108" s="315"/>
      <c r="N108" s="315"/>
      <c r="O108" s="315"/>
      <c r="P108" s="315"/>
      <c r="Q108" s="315"/>
      <c r="R108" s="315"/>
      <c r="S108" s="651"/>
      <c r="T108" s="491"/>
      <c r="U108" s="491"/>
      <c r="V108" s="491"/>
      <c r="W108" s="491"/>
      <c r="X108" s="491"/>
      <c r="Y108" s="491"/>
      <c r="Z108" s="491"/>
      <c r="AA108" s="491"/>
      <c r="AB108" s="491"/>
      <c r="AC108" s="491"/>
    </row>
    <row r="109" spans="2:29" outlineLevel="1">
      <c r="B109" s="314" t="s">
        <v>1097</v>
      </c>
      <c r="C109" s="315"/>
      <c r="D109" s="315"/>
      <c r="E109" s="315"/>
      <c r="F109" s="315"/>
      <c r="G109" s="315"/>
      <c r="H109" s="315"/>
      <c r="I109" s="315"/>
      <c r="J109" s="1214"/>
      <c r="K109" s="315"/>
      <c r="L109" s="315"/>
      <c r="M109" s="315"/>
      <c r="N109" s="315"/>
      <c r="O109" s="315"/>
      <c r="P109" s="315"/>
      <c r="Q109" s="315"/>
      <c r="R109" s="315"/>
      <c r="S109" s="651"/>
      <c r="T109" s="491"/>
      <c r="U109" s="491"/>
      <c r="V109" s="491"/>
      <c r="W109" s="491"/>
      <c r="X109" s="491"/>
      <c r="Y109" s="491"/>
      <c r="Z109" s="491"/>
      <c r="AA109" s="491"/>
      <c r="AB109" s="491"/>
      <c r="AC109" s="491"/>
    </row>
    <row r="110" spans="2:29" outlineLevel="1">
      <c r="B110" s="314" t="s">
        <v>1097</v>
      </c>
      <c r="C110" s="315"/>
      <c r="D110" s="315"/>
      <c r="E110" s="315"/>
      <c r="F110" s="315"/>
      <c r="G110" s="315"/>
      <c r="H110" s="315"/>
      <c r="I110" s="315"/>
      <c r="J110" s="1214"/>
      <c r="K110" s="315"/>
      <c r="L110" s="315"/>
      <c r="M110" s="315"/>
      <c r="N110" s="315"/>
      <c r="O110" s="315"/>
      <c r="P110" s="315"/>
      <c r="Q110" s="315"/>
      <c r="R110" s="315"/>
      <c r="S110" s="651"/>
      <c r="T110" s="491"/>
      <c r="U110" s="491"/>
      <c r="V110" s="491"/>
      <c r="W110" s="491"/>
      <c r="X110" s="491"/>
      <c r="Y110" s="491"/>
      <c r="Z110" s="491"/>
      <c r="AA110" s="491"/>
      <c r="AB110" s="491"/>
      <c r="AC110" s="491"/>
    </row>
    <row r="111" spans="2:29" outlineLevel="1">
      <c r="B111" s="314" t="s">
        <v>1097</v>
      </c>
      <c r="C111" s="315"/>
      <c r="D111" s="315"/>
      <c r="E111" s="315"/>
      <c r="F111" s="315"/>
      <c r="G111" s="315"/>
      <c r="H111" s="315"/>
      <c r="I111" s="315"/>
      <c r="J111" s="1214"/>
      <c r="K111" s="315"/>
      <c r="L111" s="315"/>
      <c r="M111" s="315"/>
      <c r="N111" s="315"/>
      <c r="O111" s="315"/>
      <c r="P111" s="315"/>
      <c r="Q111" s="315"/>
      <c r="R111" s="315"/>
      <c r="S111" s="651"/>
      <c r="T111" s="491"/>
      <c r="U111" s="491"/>
      <c r="V111" s="491"/>
      <c r="W111" s="491"/>
      <c r="X111" s="491"/>
      <c r="Y111" s="491"/>
      <c r="Z111" s="491"/>
      <c r="AA111" s="491"/>
      <c r="AB111" s="491"/>
      <c r="AC111" s="491"/>
    </row>
    <row r="112" spans="2:29" outlineLevel="1">
      <c r="B112" s="314" t="s">
        <v>1097</v>
      </c>
      <c r="C112" s="315"/>
      <c r="D112" s="315"/>
      <c r="E112" s="315"/>
      <c r="F112" s="315"/>
      <c r="G112" s="315"/>
      <c r="H112" s="315"/>
      <c r="I112" s="315"/>
      <c r="J112" s="1214"/>
      <c r="K112" s="315"/>
      <c r="L112" s="315"/>
      <c r="M112" s="315"/>
      <c r="N112" s="315"/>
      <c r="O112" s="315"/>
      <c r="P112" s="315"/>
      <c r="Q112" s="315"/>
      <c r="R112" s="315"/>
      <c r="S112" s="651"/>
      <c r="T112" s="491"/>
      <c r="U112" s="491"/>
      <c r="V112" s="491"/>
      <c r="W112" s="491"/>
      <c r="X112" s="491"/>
      <c r="Y112" s="491"/>
      <c r="Z112" s="491"/>
      <c r="AA112" s="491"/>
      <c r="AB112" s="491"/>
      <c r="AC112" s="491"/>
    </row>
    <row r="113" spans="2:29">
      <c r="F113" s="169"/>
      <c r="G113" s="169"/>
      <c r="H113" s="169"/>
      <c r="S113" s="564" t="s">
        <v>1098</v>
      </c>
      <c r="T113" s="487">
        <f>SUM(T25:T92)+SUM(T97:T112)</f>
        <v>9135.1</v>
      </c>
      <c r="U113" s="488">
        <f t="shared" ref="U113:AC113" si="2">SUM(U25:U92)+SUM(U97:U112)</f>
        <v>9213.2370675028396</v>
      </c>
      <c r="V113" s="488">
        <f t="shared" si="2"/>
        <v>9127.1688103609958</v>
      </c>
      <c r="W113" s="488">
        <f t="shared" si="2"/>
        <v>8603.8976026164819</v>
      </c>
      <c r="X113" s="488">
        <f t="shared" si="2"/>
        <v>8604.2585764599207</v>
      </c>
      <c r="Y113" s="488">
        <f t="shared" si="2"/>
        <v>7717.8553337537196</v>
      </c>
      <c r="Z113" s="488">
        <f t="shared" si="2"/>
        <v>7305.8089937663308</v>
      </c>
      <c r="AA113" s="489">
        <f t="shared" si="2"/>
        <v>6811.6842635793191</v>
      </c>
      <c r="AB113" s="490">
        <f t="shared" si="2"/>
        <v>6312.147791486701</v>
      </c>
      <c r="AC113" s="488">
        <f t="shared" si="2"/>
        <v>5978.3228687357478</v>
      </c>
    </row>
    <row r="114" spans="2:29">
      <c r="F114" s="169"/>
      <c r="G114" s="169"/>
      <c r="H114" s="169"/>
      <c r="AB114" s="283"/>
    </row>
    <row r="115" spans="2:29">
      <c r="B115" s="312" t="s">
        <v>551</v>
      </c>
      <c r="C115" s="312"/>
      <c r="D115" s="150" t="s">
        <v>1099</v>
      </c>
      <c r="E115" s="150"/>
      <c r="F115" s="150"/>
      <c r="G115" s="150"/>
      <c r="H115" s="150"/>
      <c r="I115" s="150"/>
      <c r="J115" s="150"/>
      <c r="K115" s="150"/>
      <c r="L115" s="150"/>
      <c r="M115" s="150"/>
      <c r="N115" s="150"/>
      <c r="O115" s="150"/>
      <c r="P115" s="150"/>
      <c r="T115" s="150"/>
      <c r="U115" s="150"/>
      <c r="V115" s="150"/>
      <c r="W115" s="150"/>
      <c r="X115" s="150"/>
      <c r="Y115" s="150"/>
      <c r="Z115" s="150"/>
      <c r="AA115" s="150"/>
      <c r="AB115" s="287"/>
      <c r="AC115" s="150"/>
    </row>
    <row r="116" spans="2:29" s="510" customFormat="1" ht="54.75" customHeight="1" outlineLevel="1">
      <c r="B116" s="788"/>
      <c r="C116" s="789" t="s">
        <v>1100</v>
      </c>
      <c r="D116" s="777" t="s">
        <v>599</v>
      </c>
      <c r="E116" s="777" t="s">
        <v>600</v>
      </c>
      <c r="F116" s="777" t="s">
        <v>575</v>
      </c>
      <c r="G116" s="777" t="s">
        <v>1082</v>
      </c>
      <c r="H116" s="789" t="s">
        <v>922</v>
      </c>
      <c r="I116" s="789" t="s">
        <v>129</v>
      </c>
      <c r="J116" s="789" t="s">
        <v>923</v>
      </c>
      <c r="K116" s="789" t="s">
        <v>924</v>
      </c>
      <c r="L116" s="789" t="s">
        <v>1101</v>
      </c>
      <c r="M116" s="789" t="s">
        <v>926</v>
      </c>
      <c r="N116" s="789" t="s">
        <v>927</v>
      </c>
      <c r="O116" s="789" t="s">
        <v>928</v>
      </c>
      <c r="P116" s="789" t="s">
        <v>150</v>
      </c>
      <c r="Q116" s="789" t="s">
        <v>929</v>
      </c>
      <c r="R116" s="790" t="s">
        <v>153</v>
      </c>
      <c r="S116" s="789" t="s">
        <v>1085</v>
      </c>
      <c r="AB116" s="511"/>
    </row>
    <row r="117" spans="2:29" ht="40.5" outlineLevel="1">
      <c r="B117" s="345" t="s">
        <v>468</v>
      </c>
      <c r="C117" s="570"/>
      <c r="D117" s="512" t="s">
        <v>602</v>
      </c>
      <c r="E117" s="512" t="s">
        <v>602</v>
      </c>
      <c r="F117" s="509"/>
      <c r="G117" s="512"/>
      <c r="H117" s="512"/>
      <c r="I117" s="513"/>
      <c r="J117" s="512" t="s">
        <v>1086</v>
      </c>
      <c r="K117" s="514" t="s">
        <v>1087</v>
      </c>
      <c r="L117" s="514" t="s">
        <v>469</v>
      </c>
      <c r="M117" s="514" t="s">
        <v>469</v>
      </c>
      <c r="N117" s="514" t="s">
        <v>225</v>
      </c>
      <c r="O117" s="514" t="s">
        <v>933</v>
      </c>
      <c r="P117" s="514"/>
      <c r="Q117" s="514"/>
      <c r="R117" s="515"/>
      <c r="S117" s="514" t="s">
        <v>469</v>
      </c>
      <c r="T117" s="196" t="s">
        <v>469</v>
      </c>
      <c r="U117" s="197" t="s">
        <v>469</v>
      </c>
      <c r="V117" s="197" t="s">
        <v>469</v>
      </c>
      <c r="W117" s="197" t="s">
        <v>469</v>
      </c>
      <c r="X117" s="197" t="s">
        <v>469</v>
      </c>
      <c r="Y117" s="197" t="s">
        <v>469</v>
      </c>
      <c r="Z117" s="197" t="s">
        <v>469</v>
      </c>
      <c r="AA117" s="278" t="s">
        <v>469</v>
      </c>
      <c r="AB117" s="296" t="s">
        <v>469</v>
      </c>
      <c r="AC117" s="197" t="s">
        <v>469</v>
      </c>
    </row>
    <row r="118" spans="2:29" outlineLevel="1">
      <c r="B118" s="314" t="s">
        <v>553</v>
      </c>
      <c r="C118" s="315" t="s">
        <v>937</v>
      </c>
      <c r="D118" s="315" t="s">
        <v>1102</v>
      </c>
      <c r="E118" s="315" t="s">
        <v>1102</v>
      </c>
      <c r="F118" s="315" t="s">
        <v>1103</v>
      </c>
      <c r="G118" s="315" t="s">
        <v>1104</v>
      </c>
      <c r="H118" s="315"/>
      <c r="I118" s="315" t="s">
        <v>1105</v>
      </c>
      <c r="J118" s="1216">
        <v>2E-3</v>
      </c>
      <c r="K118" s="316" t="s">
        <v>138</v>
      </c>
      <c r="L118" s="316" t="s">
        <v>937</v>
      </c>
      <c r="M118" s="1217" t="s">
        <v>937</v>
      </c>
      <c r="N118" s="1216"/>
      <c r="O118" s="316" t="s">
        <v>937</v>
      </c>
      <c r="P118" s="316"/>
      <c r="Q118" s="316"/>
      <c r="R118" s="316"/>
      <c r="S118" s="316"/>
      <c r="T118" s="651">
        <v>2.2386409999999999</v>
      </c>
      <c r="U118" s="651">
        <v>0</v>
      </c>
      <c r="V118" s="651">
        <v>0</v>
      </c>
      <c r="W118" s="651">
        <v>0</v>
      </c>
      <c r="X118" s="651">
        <v>0</v>
      </c>
      <c r="Y118" s="651">
        <v>0</v>
      </c>
      <c r="Z118" s="651">
        <v>0</v>
      </c>
      <c r="AA118" s="651">
        <v>0</v>
      </c>
      <c r="AB118" s="651">
        <v>0</v>
      </c>
      <c r="AC118" s="651">
        <v>0</v>
      </c>
    </row>
    <row r="119" spans="2:29" outlineLevel="1">
      <c r="B119" s="323" t="s">
        <v>554</v>
      </c>
      <c r="C119" s="315" t="s">
        <v>937</v>
      </c>
      <c r="D119" s="315">
        <v>42635</v>
      </c>
      <c r="E119" s="315">
        <v>44475</v>
      </c>
      <c r="F119" s="315" t="s">
        <v>1103</v>
      </c>
      <c r="G119" s="315" t="s">
        <v>1104</v>
      </c>
      <c r="H119" s="315"/>
      <c r="I119" s="315" t="s">
        <v>135</v>
      </c>
      <c r="J119" s="319" t="s">
        <v>969</v>
      </c>
      <c r="K119" s="317" t="s">
        <v>138</v>
      </c>
      <c r="L119" s="318" t="s">
        <v>937</v>
      </c>
      <c r="M119" s="318" t="s">
        <v>937</v>
      </c>
      <c r="N119" s="319"/>
      <c r="O119" s="319" t="s">
        <v>937</v>
      </c>
      <c r="P119" s="320"/>
      <c r="Q119" s="1218">
        <v>231.3</v>
      </c>
      <c r="R119" s="322"/>
      <c r="S119" s="1219"/>
      <c r="T119" s="651">
        <v>0</v>
      </c>
      <c r="U119" s="651">
        <v>0</v>
      </c>
      <c r="V119" s="651">
        <v>0</v>
      </c>
      <c r="W119" s="651">
        <v>0</v>
      </c>
      <c r="X119" s="651">
        <v>0</v>
      </c>
      <c r="Y119" s="651">
        <v>0</v>
      </c>
      <c r="Z119" s="651">
        <v>0</v>
      </c>
      <c r="AA119" s="651">
        <v>0</v>
      </c>
      <c r="AB119" s="651">
        <v>0</v>
      </c>
      <c r="AC119" s="651">
        <v>0</v>
      </c>
    </row>
    <row r="120" spans="2:29" outlineLevel="1">
      <c r="B120" s="314" t="s">
        <v>555</v>
      </c>
      <c r="C120" s="315"/>
      <c r="D120" s="315"/>
      <c r="E120" s="315"/>
      <c r="F120" s="1197"/>
      <c r="G120" s="1197"/>
      <c r="H120" s="1197"/>
      <c r="I120" s="1197"/>
      <c r="J120" s="1198"/>
      <c r="K120" s="1197"/>
      <c r="L120" s="1197"/>
      <c r="M120" s="1197"/>
      <c r="N120" s="1198"/>
      <c r="O120" s="1198"/>
      <c r="P120" s="1197"/>
      <c r="Q120" s="1197"/>
      <c r="R120" s="1197"/>
      <c r="S120" s="1197"/>
      <c r="T120" s="651"/>
      <c r="U120" s="651"/>
      <c r="V120" s="651"/>
      <c r="W120" s="651"/>
      <c r="X120" s="651"/>
      <c r="Y120" s="651"/>
      <c r="Z120" s="651"/>
      <c r="AA120" s="651"/>
      <c r="AB120" s="651"/>
      <c r="AC120" s="651"/>
    </row>
    <row r="121" spans="2:29" outlineLevel="1">
      <c r="B121" s="323" t="s">
        <v>556</v>
      </c>
      <c r="C121" s="315"/>
      <c r="D121" s="315"/>
      <c r="E121" s="315"/>
      <c r="F121" s="1197"/>
      <c r="G121" s="1197"/>
      <c r="H121" s="1197"/>
      <c r="I121" s="1197"/>
      <c r="J121" s="1198"/>
      <c r="K121" s="1197"/>
      <c r="L121" s="1197"/>
      <c r="M121" s="1197"/>
      <c r="N121" s="1198"/>
      <c r="O121" s="1198"/>
      <c r="P121" s="1197"/>
      <c r="Q121" s="1197"/>
      <c r="R121" s="1197"/>
      <c r="S121" s="1197"/>
      <c r="T121" s="651"/>
      <c r="U121" s="651"/>
      <c r="V121" s="651"/>
      <c r="W121" s="651"/>
      <c r="X121" s="651"/>
      <c r="Y121" s="651"/>
      <c r="Z121" s="651"/>
      <c r="AA121" s="651"/>
      <c r="AB121" s="651"/>
      <c r="AC121" s="651"/>
    </row>
    <row r="122" spans="2:29" outlineLevel="1">
      <c r="B122" s="314" t="s">
        <v>557</v>
      </c>
      <c r="C122" s="315"/>
      <c r="D122" s="315"/>
      <c r="E122" s="315"/>
      <c r="F122" s="1197"/>
      <c r="G122" s="1197"/>
      <c r="H122" s="1197"/>
      <c r="I122" s="1197"/>
      <c r="J122" s="1198"/>
      <c r="K122" s="1197"/>
      <c r="L122" s="1197"/>
      <c r="M122" s="1197"/>
      <c r="N122" s="1198"/>
      <c r="O122" s="1198"/>
      <c r="P122" s="1197"/>
      <c r="Q122" s="1197"/>
      <c r="R122" s="1197"/>
      <c r="S122" s="1197"/>
      <c r="T122" s="651"/>
      <c r="U122" s="651"/>
      <c r="V122" s="651"/>
      <c r="W122" s="651"/>
      <c r="X122" s="651"/>
      <c r="Y122" s="651"/>
      <c r="Z122" s="651"/>
      <c r="AA122" s="651"/>
      <c r="AB122" s="651"/>
      <c r="AC122" s="651"/>
    </row>
    <row r="123" spans="2:29" outlineLevel="1">
      <c r="B123" s="323" t="s">
        <v>558</v>
      </c>
      <c r="C123" s="315"/>
      <c r="D123" s="315"/>
      <c r="E123" s="315"/>
      <c r="F123" s="1197"/>
      <c r="G123" s="1197"/>
      <c r="H123" s="1197"/>
      <c r="I123" s="1197"/>
      <c r="J123" s="1198"/>
      <c r="K123" s="1197"/>
      <c r="L123" s="1197"/>
      <c r="M123" s="1197"/>
      <c r="N123" s="1198"/>
      <c r="O123" s="1198"/>
      <c r="P123" s="1197"/>
      <c r="Q123" s="1197"/>
      <c r="R123" s="1197"/>
      <c r="S123" s="1197"/>
      <c r="T123" s="651"/>
      <c r="U123" s="651"/>
      <c r="V123" s="651"/>
      <c r="W123" s="651"/>
      <c r="X123" s="651"/>
      <c r="Y123" s="651"/>
      <c r="Z123" s="651"/>
      <c r="AA123" s="651"/>
      <c r="AB123" s="651"/>
      <c r="AC123" s="651"/>
    </row>
    <row r="124" spans="2:29" outlineLevel="1">
      <c r="B124" s="314" t="s">
        <v>559</v>
      </c>
      <c r="C124" s="315"/>
      <c r="D124" s="315"/>
      <c r="E124" s="315"/>
      <c r="F124" s="1197"/>
      <c r="G124" s="1197"/>
      <c r="H124" s="1197"/>
      <c r="I124" s="1197"/>
      <c r="J124" s="1198"/>
      <c r="K124" s="1197"/>
      <c r="L124" s="1197"/>
      <c r="M124" s="1197"/>
      <c r="N124" s="1198"/>
      <c r="O124" s="1198"/>
      <c r="P124" s="1197"/>
      <c r="Q124" s="1197"/>
      <c r="R124" s="1197"/>
      <c r="S124" s="1197"/>
      <c r="T124" s="651"/>
      <c r="U124" s="651"/>
      <c r="V124" s="651"/>
      <c r="W124" s="651"/>
      <c r="X124" s="651"/>
      <c r="Y124" s="651"/>
      <c r="Z124" s="651"/>
      <c r="AA124" s="651"/>
      <c r="AB124" s="651"/>
      <c r="AC124" s="651"/>
    </row>
    <row r="125" spans="2:29" outlineLevel="1">
      <c r="B125" s="323" t="s">
        <v>560</v>
      </c>
      <c r="C125" s="315"/>
      <c r="D125" s="315"/>
      <c r="E125" s="315"/>
      <c r="F125" s="1197"/>
      <c r="G125" s="1197"/>
      <c r="H125" s="1197"/>
      <c r="I125" s="1197"/>
      <c r="J125" s="1198"/>
      <c r="K125" s="1197"/>
      <c r="L125" s="1197"/>
      <c r="M125" s="1197"/>
      <c r="N125" s="1198"/>
      <c r="O125" s="1198"/>
      <c r="P125" s="1197"/>
      <c r="Q125" s="1197"/>
      <c r="R125" s="1197"/>
      <c r="S125" s="1197"/>
      <c r="T125" s="651"/>
      <c r="U125" s="651"/>
      <c r="V125" s="651"/>
      <c r="W125" s="651"/>
      <c r="X125" s="651"/>
      <c r="Y125" s="651"/>
      <c r="Z125" s="651"/>
      <c r="AA125" s="651"/>
      <c r="AB125" s="651"/>
      <c r="AC125" s="651"/>
    </row>
    <row r="126" spans="2:29" outlineLevel="1">
      <c r="B126" s="314" t="s">
        <v>561</v>
      </c>
      <c r="C126" s="315"/>
      <c r="D126" s="315"/>
      <c r="E126" s="315"/>
      <c r="F126" s="1197"/>
      <c r="G126" s="1197"/>
      <c r="H126" s="1197"/>
      <c r="I126" s="1197"/>
      <c r="J126" s="1198"/>
      <c r="K126" s="1197"/>
      <c r="L126" s="1197"/>
      <c r="M126" s="1197"/>
      <c r="N126" s="1198"/>
      <c r="O126" s="1198"/>
      <c r="P126" s="1197"/>
      <c r="Q126" s="1197"/>
      <c r="R126" s="1197"/>
      <c r="S126" s="1197"/>
      <c r="T126" s="651"/>
      <c r="U126" s="651"/>
      <c r="V126" s="651"/>
      <c r="W126" s="651"/>
      <c r="X126" s="651"/>
      <c r="Y126" s="651"/>
      <c r="Z126" s="651"/>
      <c r="AA126" s="651"/>
      <c r="AB126" s="651"/>
      <c r="AC126" s="651"/>
    </row>
    <row r="127" spans="2:29" outlineLevel="1">
      <c r="B127" s="550" t="s">
        <v>1106</v>
      </c>
      <c r="C127" s="1446" t="s">
        <v>649</v>
      </c>
      <c r="D127" s="1447"/>
      <c r="E127" s="1447"/>
      <c r="F127" s="1447"/>
      <c r="G127" s="1447"/>
      <c r="H127" s="1447"/>
      <c r="I127" s="1447"/>
      <c r="J127" s="1447"/>
      <c r="K127" s="1447"/>
      <c r="L127" s="1447"/>
      <c r="M127" s="1447"/>
      <c r="N127" s="1447"/>
      <c r="O127" s="1447"/>
      <c r="P127" s="1447"/>
      <c r="Q127" s="1447"/>
      <c r="R127" s="1447"/>
      <c r="S127" s="1448"/>
      <c r="T127" s="1199"/>
      <c r="U127" s="1200"/>
      <c r="V127" s="1200"/>
      <c r="W127" s="1200"/>
      <c r="X127" s="1200"/>
      <c r="Y127" s="1200"/>
      <c r="Z127" s="1200"/>
      <c r="AA127" s="1201"/>
      <c r="AB127" s="1202"/>
      <c r="AC127" s="1200"/>
    </row>
    <row r="128" spans="2:29">
      <c r="F128" s="169"/>
      <c r="G128" s="169"/>
      <c r="H128" s="169"/>
      <c r="S128" s="564" t="s">
        <v>1107</v>
      </c>
      <c r="T128" s="487">
        <f>SUM(T118:T127)</f>
        <v>2.2386409999999999</v>
      </c>
      <c r="U128" s="488">
        <f t="shared" ref="U128:AC128" si="3">SUM(U118:U127)</f>
        <v>0</v>
      </c>
      <c r="V128" s="488">
        <f t="shared" si="3"/>
        <v>0</v>
      </c>
      <c r="W128" s="488">
        <f t="shared" si="3"/>
        <v>0</v>
      </c>
      <c r="X128" s="488">
        <f t="shared" si="3"/>
        <v>0</v>
      </c>
      <c r="Y128" s="488">
        <f t="shared" si="3"/>
        <v>0</v>
      </c>
      <c r="Z128" s="488">
        <f t="shared" si="3"/>
        <v>0</v>
      </c>
      <c r="AA128" s="489">
        <f t="shared" si="3"/>
        <v>0</v>
      </c>
      <c r="AB128" s="490">
        <f t="shared" si="3"/>
        <v>0</v>
      </c>
      <c r="AC128" s="488">
        <f t="shared" si="3"/>
        <v>0</v>
      </c>
    </row>
    <row r="129" spans="2:29">
      <c r="F129" s="169"/>
      <c r="G129" s="169"/>
      <c r="H129" s="169"/>
      <c r="AB129" s="283"/>
    </row>
    <row r="130" spans="2:29">
      <c r="B130" s="312" t="s">
        <v>562</v>
      </c>
      <c r="C130" s="312"/>
      <c r="D130" s="150" t="s">
        <v>1108</v>
      </c>
      <c r="E130" s="150"/>
      <c r="F130" s="150"/>
      <c r="G130" s="150"/>
      <c r="H130" s="150"/>
      <c r="I130" s="150"/>
      <c r="J130" s="150"/>
      <c r="K130" s="150"/>
      <c r="L130" s="150"/>
      <c r="M130" s="150"/>
      <c r="N130" s="150"/>
      <c r="O130" s="150"/>
      <c r="P130" s="150"/>
      <c r="Q130" s="150"/>
      <c r="T130" s="150"/>
      <c r="U130" s="150"/>
      <c r="V130" s="150"/>
      <c r="W130" s="150"/>
      <c r="X130" s="150"/>
      <c r="Y130" s="150"/>
      <c r="Z130" s="150"/>
      <c r="AA130" s="150"/>
      <c r="AB130" s="287"/>
      <c r="AC130" s="150"/>
    </row>
    <row r="131" spans="2:29" ht="56.25" customHeight="1" outlineLevel="1">
      <c r="B131" s="791"/>
      <c r="C131" s="789" t="s">
        <v>1100</v>
      </c>
      <c r="D131" s="777" t="s">
        <v>599</v>
      </c>
      <c r="E131" s="777" t="s">
        <v>600</v>
      </c>
      <c r="F131" s="777" t="s">
        <v>575</v>
      </c>
      <c r="G131" s="777" t="s">
        <v>1082</v>
      </c>
      <c r="H131" s="789" t="s">
        <v>922</v>
      </c>
      <c r="I131" s="789" t="s">
        <v>129</v>
      </c>
      <c r="J131" s="789" t="s">
        <v>923</v>
      </c>
      <c r="K131" s="789" t="s">
        <v>924</v>
      </c>
      <c r="L131" s="789" t="s">
        <v>1101</v>
      </c>
      <c r="M131" s="790" t="s">
        <v>926</v>
      </c>
      <c r="N131" s="150"/>
      <c r="O131" s="150"/>
      <c r="P131" s="150"/>
      <c r="Q131" s="150"/>
      <c r="X131" s="170"/>
      <c r="AB131" s="283"/>
    </row>
    <row r="132" spans="2:29" ht="40.5" outlineLevel="1">
      <c r="B132" s="345" t="s">
        <v>468</v>
      </c>
      <c r="C132" s="570"/>
      <c r="D132" s="512" t="s">
        <v>602</v>
      </c>
      <c r="E132" s="512" t="s">
        <v>602</v>
      </c>
      <c r="F132" s="512"/>
      <c r="G132" s="512"/>
      <c r="H132" s="512"/>
      <c r="I132" s="514"/>
      <c r="J132" s="512" t="s">
        <v>1086</v>
      </c>
      <c r="K132" s="514" t="s">
        <v>1087</v>
      </c>
      <c r="L132" s="514" t="s">
        <v>469</v>
      </c>
      <c r="M132" s="515" t="s">
        <v>469</v>
      </c>
      <c r="N132" s="150"/>
      <c r="O132" s="150"/>
      <c r="P132" s="150"/>
      <c r="Q132" s="150"/>
      <c r="T132" s="196" t="s">
        <v>469</v>
      </c>
      <c r="U132" s="197" t="s">
        <v>469</v>
      </c>
      <c r="V132" s="197" t="s">
        <v>469</v>
      </c>
      <c r="W132" s="197" t="s">
        <v>469</v>
      </c>
      <c r="X132" s="197" t="s">
        <v>469</v>
      </c>
      <c r="Y132" s="197" t="s">
        <v>469</v>
      </c>
      <c r="Z132" s="197" t="s">
        <v>469</v>
      </c>
      <c r="AA132" s="278" t="s">
        <v>469</v>
      </c>
      <c r="AB132" s="296" t="s">
        <v>469</v>
      </c>
      <c r="AC132" s="197" t="s">
        <v>469</v>
      </c>
    </row>
    <row r="133" spans="2:29" outlineLevel="1">
      <c r="B133" s="314" t="s">
        <v>564</v>
      </c>
      <c r="C133" s="315" t="s">
        <v>937</v>
      </c>
      <c r="D133" s="315" t="s">
        <v>1102</v>
      </c>
      <c r="E133" s="315" t="s">
        <v>1102</v>
      </c>
      <c r="F133" s="315" t="s">
        <v>1109</v>
      </c>
      <c r="G133" s="315" t="s">
        <v>1104</v>
      </c>
      <c r="H133" s="315"/>
      <c r="I133" s="315"/>
      <c r="J133" s="315"/>
      <c r="K133" s="315" t="s">
        <v>138</v>
      </c>
      <c r="L133" s="315" t="s">
        <v>937</v>
      </c>
      <c r="M133" s="315" t="s">
        <v>937</v>
      </c>
      <c r="N133" s="150"/>
      <c r="O133" s="150"/>
      <c r="P133" s="150"/>
      <c r="Q133" s="150"/>
      <c r="T133" s="491">
        <v>-484</v>
      </c>
      <c r="U133" s="491">
        <v>0</v>
      </c>
      <c r="V133" s="491">
        <v>0</v>
      </c>
      <c r="W133" s="491">
        <v>0</v>
      </c>
      <c r="X133" s="491">
        <v>0</v>
      </c>
      <c r="Y133" s="491">
        <v>0</v>
      </c>
      <c r="Z133" s="491">
        <v>0</v>
      </c>
      <c r="AA133" s="491">
        <v>0</v>
      </c>
      <c r="AB133" s="491">
        <v>0</v>
      </c>
      <c r="AC133" s="491">
        <v>0</v>
      </c>
    </row>
    <row r="134" spans="2:29" outlineLevel="1">
      <c r="B134" s="323" t="s">
        <v>565</v>
      </c>
      <c r="C134" s="315"/>
      <c r="D134" s="315"/>
      <c r="E134" s="315"/>
      <c r="F134" s="315"/>
      <c r="G134" s="315"/>
      <c r="H134" s="315"/>
      <c r="I134" s="315"/>
      <c r="J134" s="315"/>
      <c r="K134" s="315"/>
      <c r="L134" s="315"/>
      <c r="M134" s="315"/>
      <c r="N134" s="150"/>
      <c r="O134" s="150"/>
      <c r="P134" s="150"/>
      <c r="Q134" s="150"/>
      <c r="T134" s="491">
        <v>0</v>
      </c>
      <c r="U134" s="491">
        <v>0</v>
      </c>
      <c r="V134" s="491">
        <v>0</v>
      </c>
      <c r="W134" s="491">
        <v>0</v>
      </c>
      <c r="X134" s="491">
        <v>0</v>
      </c>
      <c r="Y134" s="491">
        <v>0</v>
      </c>
      <c r="Z134" s="491">
        <v>0</v>
      </c>
      <c r="AA134" s="491">
        <v>0</v>
      </c>
      <c r="AB134" s="491">
        <v>0</v>
      </c>
      <c r="AC134" s="491">
        <v>0</v>
      </c>
    </row>
    <row r="135" spans="2:29" outlineLevel="1">
      <c r="B135" s="314" t="s">
        <v>566</v>
      </c>
      <c r="C135" s="315"/>
      <c r="D135" s="315"/>
      <c r="E135" s="315"/>
      <c r="F135" s="315"/>
      <c r="G135" s="315"/>
      <c r="H135" s="315"/>
      <c r="I135" s="315"/>
      <c r="J135" s="315"/>
      <c r="K135" s="315"/>
      <c r="L135" s="315"/>
      <c r="M135" s="315"/>
      <c r="N135" s="150"/>
      <c r="O135" s="150"/>
      <c r="P135" s="150"/>
      <c r="Q135" s="150"/>
      <c r="T135" s="491">
        <v>0</v>
      </c>
      <c r="U135" s="491">
        <v>0</v>
      </c>
      <c r="V135" s="491">
        <v>0</v>
      </c>
      <c r="W135" s="491">
        <v>0</v>
      </c>
      <c r="X135" s="491">
        <v>0</v>
      </c>
      <c r="Y135" s="491">
        <v>0</v>
      </c>
      <c r="Z135" s="491">
        <v>0</v>
      </c>
      <c r="AA135" s="491">
        <v>0</v>
      </c>
      <c r="AB135" s="491">
        <v>0</v>
      </c>
      <c r="AC135" s="491">
        <v>0</v>
      </c>
    </row>
    <row r="136" spans="2:29" outlineLevel="1">
      <c r="B136" s="323" t="s">
        <v>567</v>
      </c>
      <c r="C136" s="315"/>
      <c r="D136" s="315"/>
      <c r="E136" s="315"/>
      <c r="F136" s="315"/>
      <c r="G136" s="315"/>
      <c r="H136" s="315"/>
      <c r="I136" s="315"/>
      <c r="J136" s="315"/>
      <c r="K136" s="315"/>
      <c r="L136" s="315"/>
      <c r="M136" s="315"/>
      <c r="N136" s="150"/>
      <c r="O136" s="150"/>
      <c r="P136" s="150"/>
      <c r="Q136" s="150"/>
      <c r="T136" s="491">
        <v>0</v>
      </c>
      <c r="U136" s="491">
        <v>0</v>
      </c>
      <c r="V136" s="491">
        <v>0</v>
      </c>
      <c r="W136" s="491">
        <v>0</v>
      </c>
      <c r="X136" s="491">
        <v>0</v>
      </c>
      <c r="Y136" s="491">
        <v>0</v>
      </c>
      <c r="Z136" s="491">
        <v>0</v>
      </c>
      <c r="AA136" s="491">
        <v>0</v>
      </c>
      <c r="AB136" s="491">
        <v>0</v>
      </c>
      <c r="AC136" s="491">
        <v>0</v>
      </c>
    </row>
    <row r="137" spans="2:29" outlineLevel="1">
      <c r="B137" s="314" t="s">
        <v>568</v>
      </c>
      <c r="C137" s="315"/>
      <c r="D137" s="315"/>
      <c r="E137" s="315"/>
      <c r="F137" s="315"/>
      <c r="G137" s="315"/>
      <c r="H137" s="315"/>
      <c r="I137" s="315"/>
      <c r="J137" s="315"/>
      <c r="K137" s="315"/>
      <c r="L137" s="315"/>
      <c r="M137" s="315"/>
      <c r="N137" s="150"/>
      <c r="O137" s="150"/>
      <c r="P137" s="150"/>
      <c r="Q137" s="150"/>
      <c r="T137" s="491">
        <v>0</v>
      </c>
      <c r="U137" s="491">
        <v>0</v>
      </c>
      <c r="V137" s="491">
        <v>0</v>
      </c>
      <c r="W137" s="491">
        <v>0</v>
      </c>
      <c r="X137" s="491">
        <v>0</v>
      </c>
      <c r="Y137" s="491">
        <v>0</v>
      </c>
      <c r="Z137" s="491">
        <v>0</v>
      </c>
      <c r="AA137" s="491">
        <v>0</v>
      </c>
      <c r="AB137" s="491">
        <v>0</v>
      </c>
      <c r="AC137" s="491">
        <v>0</v>
      </c>
    </row>
    <row r="138" spans="2:29" outlineLevel="1">
      <c r="B138" s="323" t="s">
        <v>569</v>
      </c>
      <c r="C138" s="315"/>
      <c r="D138" s="315"/>
      <c r="E138" s="315"/>
      <c r="F138" s="315"/>
      <c r="G138" s="315"/>
      <c r="H138" s="315"/>
      <c r="I138" s="315"/>
      <c r="J138" s="315"/>
      <c r="K138" s="315"/>
      <c r="L138" s="315"/>
      <c r="M138" s="315"/>
      <c r="N138" s="150"/>
      <c r="O138" s="150"/>
      <c r="P138" s="150"/>
      <c r="Q138" s="150"/>
      <c r="T138" s="491">
        <v>0</v>
      </c>
      <c r="U138" s="491">
        <v>0</v>
      </c>
      <c r="V138" s="491">
        <v>0</v>
      </c>
      <c r="W138" s="491">
        <v>0</v>
      </c>
      <c r="X138" s="491">
        <v>0</v>
      </c>
      <c r="Y138" s="491">
        <v>0</v>
      </c>
      <c r="Z138" s="491">
        <v>0</v>
      </c>
      <c r="AA138" s="491">
        <v>0</v>
      </c>
      <c r="AB138" s="491">
        <v>0</v>
      </c>
      <c r="AC138" s="491">
        <v>0</v>
      </c>
    </row>
    <row r="139" spans="2:29" outlineLevel="1">
      <c r="B139" s="314" t="s">
        <v>570</v>
      </c>
      <c r="C139" s="315"/>
      <c r="D139" s="315"/>
      <c r="E139" s="315"/>
      <c r="F139" s="315"/>
      <c r="G139" s="315"/>
      <c r="H139" s="315"/>
      <c r="I139" s="315"/>
      <c r="J139" s="315"/>
      <c r="K139" s="315"/>
      <c r="L139" s="315"/>
      <c r="M139" s="315"/>
      <c r="N139" s="150"/>
      <c r="O139" s="150"/>
      <c r="P139" s="150"/>
      <c r="Q139" s="150"/>
      <c r="T139" s="491">
        <v>0</v>
      </c>
      <c r="U139" s="491">
        <v>0</v>
      </c>
      <c r="V139" s="491">
        <v>0</v>
      </c>
      <c r="W139" s="491">
        <v>0</v>
      </c>
      <c r="X139" s="491">
        <v>0</v>
      </c>
      <c r="Y139" s="491">
        <v>0</v>
      </c>
      <c r="Z139" s="491">
        <v>0</v>
      </c>
      <c r="AA139" s="491">
        <v>0</v>
      </c>
      <c r="AB139" s="491">
        <v>0</v>
      </c>
      <c r="AC139" s="491">
        <v>0</v>
      </c>
    </row>
    <row r="140" spans="2:29" outlineLevel="1">
      <c r="B140" s="323" t="s">
        <v>571</v>
      </c>
      <c r="C140" s="315"/>
      <c r="D140" s="315"/>
      <c r="E140" s="315"/>
      <c r="F140" s="315"/>
      <c r="G140" s="315"/>
      <c r="H140" s="315"/>
      <c r="I140" s="315"/>
      <c r="J140" s="1198"/>
      <c r="K140" s="315"/>
      <c r="L140" s="315"/>
      <c r="M140" s="651"/>
      <c r="N140" s="150"/>
      <c r="O140" s="150"/>
      <c r="P140" s="150"/>
      <c r="Q140" s="150"/>
      <c r="T140" s="491">
        <v>0</v>
      </c>
      <c r="U140" s="491">
        <v>0</v>
      </c>
      <c r="V140" s="491">
        <v>0</v>
      </c>
      <c r="W140" s="491">
        <v>0</v>
      </c>
      <c r="X140" s="491">
        <v>0</v>
      </c>
      <c r="Y140" s="491">
        <v>0</v>
      </c>
      <c r="Z140" s="491">
        <v>0</v>
      </c>
      <c r="AA140" s="491">
        <v>0</v>
      </c>
      <c r="AB140" s="491">
        <v>0</v>
      </c>
      <c r="AC140" s="491">
        <v>0</v>
      </c>
    </row>
    <row r="141" spans="2:29" outlineLevel="1">
      <c r="B141" s="314" t="s">
        <v>572</v>
      </c>
      <c r="C141" s="315"/>
      <c r="D141" s="315"/>
      <c r="E141" s="315"/>
      <c r="F141" s="315"/>
      <c r="G141" s="315"/>
      <c r="H141" s="315"/>
      <c r="I141" s="315"/>
      <c r="J141" s="1198"/>
      <c r="K141" s="315"/>
      <c r="L141" s="315"/>
      <c r="M141" s="651"/>
      <c r="N141" s="150"/>
      <c r="O141" s="150"/>
      <c r="P141" s="150"/>
      <c r="Q141" s="150"/>
      <c r="T141" s="491">
        <v>0</v>
      </c>
      <c r="U141" s="491">
        <v>0</v>
      </c>
      <c r="V141" s="491">
        <v>0</v>
      </c>
      <c r="W141" s="491">
        <v>0</v>
      </c>
      <c r="X141" s="491">
        <v>0</v>
      </c>
      <c r="Y141" s="491">
        <v>0</v>
      </c>
      <c r="Z141" s="491">
        <v>0</v>
      </c>
      <c r="AA141" s="491">
        <v>0</v>
      </c>
      <c r="AB141" s="491">
        <v>0</v>
      </c>
      <c r="AC141" s="491">
        <v>0</v>
      </c>
    </row>
    <row r="142" spans="2:29" outlineLevel="1">
      <c r="B142" s="321" t="s">
        <v>1110</v>
      </c>
      <c r="C142" s="1443" t="s">
        <v>649</v>
      </c>
      <c r="D142" s="1444"/>
      <c r="E142" s="1444"/>
      <c r="F142" s="1444"/>
      <c r="G142" s="1444"/>
      <c r="H142" s="1444"/>
      <c r="I142" s="1444"/>
      <c r="J142" s="1444"/>
      <c r="K142" s="1444"/>
      <c r="L142" s="1444"/>
      <c r="M142" s="1445"/>
      <c r="N142" s="150"/>
      <c r="O142" s="150"/>
      <c r="P142" s="150"/>
      <c r="Q142" s="150"/>
      <c r="T142" s="491">
        <v>0</v>
      </c>
      <c r="U142" s="491">
        <v>0</v>
      </c>
      <c r="V142" s="491">
        <v>0</v>
      </c>
      <c r="W142" s="491">
        <v>0</v>
      </c>
      <c r="X142" s="491">
        <v>0</v>
      </c>
      <c r="Y142" s="491">
        <v>0</v>
      </c>
      <c r="Z142" s="491">
        <v>0</v>
      </c>
      <c r="AA142" s="491">
        <v>0</v>
      </c>
      <c r="AB142" s="491">
        <v>0</v>
      </c>
      <c r="AC142" s="491">
        <v>0</v>
      </c>
    </row>
    <row r="143" spans="2:29">
      <c r="F143" s="169"/>
      <c r="G143" s="169"/>
      <c r="H143" s="169"/>
      <c r="I143" s="169"/>
      <c r="S143" s="985" t="s">
        <v>1111</v>
      </c>
      <c r="T143" s="487">
        <f>SUM(T133:T142)</f>
        <v>-484</v>
      </c>
      <c r="U143" s="488">
        <f t="shared" ref="U143:AC143" si="4">SUM(U133:U142)</f>
        <v>0</v>
      </c>
      <c r="V143" s="488">
        <f t="shared" si="4"/>
        <v>0</v>
      </c>
      <c r="W143" s="488">
        <f t="shared" si="4"/>
        <v>0</v>
      </c>
      <c r="X143" s="488">
        <f t="shared" si="4"/>
        <v>0</v>
      </c>
      <c r="Y143" s="488">
        <f t="shared" si="4"/>
        <v>0</v>
      </c>
      <c r="Z143" s="488">
        <f t="shared" si="4"/>
        <v>0</v>
      </c>
      <c r="AA143" s="489">
        <f t="shared" si="4"/>
        <v>0</v>
      </c>
      <c r="AB143" s="490">
        <f t="shared" si="4"/>
        <v>0</v>
      </c>
      <c r="AC143" s="488">
        <f t="shared" si="4"/>
        <v>0</v>
      </c>
    </row>
    <row r="144" spans="2:29">
      <c r="F144" s="169"/>
      <c r="G144" s="169"/>
      <c r="H144" s="169"/>
      <c r="I144" s="169"/>
      <c r="AB144" s="283"/>
    </row>
    <row r="145" spans="2:29">
      <c r="B145" s="312" t="s">
        <v>573</v>
      </c>
      <c r="C145" s="312"/>
      <c r="D145" s="150" t="s">
        <v>1112</v>
      </c>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287"/>
      <c r="AC145" s="150"/>
    </row>
    <row r="146" spans="2:29" ht="27" outlineLevel="1">
      <c r="B146" s="791"/>
      <c r="C146" s="789" t="s">
        <v>1100</v>
      </c>
      <c r="D146" s="792"/>
      <c r="E146" s="778"/>
      <c r="F146" s="793"/>
      <c r="G146" s="793"/>
      <c r="H146" s="793"/>
      <c r="I146" s="793"/>
      <c r="J146" s="793"/>
      <c r="K146" s="793"/>
      <c r="L146" s="793"/>
      <c r="M146" s="793"/>
      <c r="N146" s="1184"/>
      <c r="O146" s="789" t="s">
        <v>1113</v>
      </c>
      <c r="P146" s="789" t="s">
        <v>1114</v>
      </c>
      <c r="Q146" s="790" t="s">
        <v>1115</v>
      </c>
      <c r="R146" s="150"/>
      <c r="S146" s="150"/>
      <c r="T146" s="334" t="s">
        <v>576</v>
      </c>
      <c r="U146" s="335" t="s">
        <v>576</v>
      </c>
      <c r="V146" s="335" t="s">
        <v>576</v>
      </c>
      <c r="W146" s="335" t="s">
        <v>576</v>
      </c>
      <c r="X146" s="335" t="s">
        <v>576</v>
      </c>
      <c r="Y146" s="335" t="s">
        <v>576</v>
      </c>
      <c r="Z146" s="335" t="s">
        <v>576</v>
      </c>
      <c r="AA146" s="379" t="s">
        <v>576</v>
      </c>
      <c r="AB146" s="385" t="s">
        <v>576</v>
      </c>
      <c r="AC146" s="335" t="s">
        <v>576</v>
      </c>
    </row>
    <row r="147" spans="2:29" outlineLevel="1">
      <c r="B147" s="336" t="s">
        <v>468</v>
      </c>
      <c r="C147" s="989"/>
      <c r="D147" s="340" t="s">
        <v>575</v>
      </c>
      <c r="E147" s="990"/>
      <c r="F147" s="991"/>
      <c r="G147" s="991"/>
      <c r="H147" s="991"/>
      <c r="I147" s="991"/>
      <c r="J147" s="991"/>
      <c r="K147" s="991"/>
      <c r="L147" s="991"/>
      <c r="M147" s="991"/>
      <c r="N147" s="339"/>
      <c r="O147" s="337" t="s">
        <v>602</v>
      </c>
      <c r="P147" s="337" t="s">
        <v>602</v>
      </c>
      <c r="Q147" s="338"/>
      <c r="R147" s="150"/>
      <c r="S147" s="150"/>
      <c r="T147" s="194" t="s">
        <v>469</v>
      </c>
      <c r="U147" s="195" t="s">
        <v>469</v>
      </c>
      <c r="V147" s="195" t="s">
        <v>469</v>
      </c>
      <c r="W147" s="195" t="s">
        <v>469</v>
      </c>
      <c r="X147" s="195" t="s">
        <v>469</v>
      </c>
      <c r="Y147" s="195" t="s">
        <v>469</v>
      </c>
      <c r="Z147" s="195" t="s">
        <v>469</v>
      </c>
      <c r="AA147" s="277" t="s">
        <v>469</v>
      </c>
      <c r="AB147" s="294" t="s">
        <v>469</v>
      </c>
      <c r="AC147" s="195" t="s">
        <v>469</v>
      </c>
    </row>
    <row r="148" spans="2:29" outlineLevel="1">
      <c r="B148" s="331" t="s">
        <v>577</v>
      </c>
      <c r="C148" s="315"/>
      <c r="D148" s="1442"/>
      <c r="E148" s="1442"/>
      <c r="F148" s="1442"/>
      <c r="G148" s="1442"/>
      <c r="H148" s="1442"/>
      <c r="I148" s="1442"/>
      <c r="J148" s="1442"/>
      <c r="K148" s="1442"/>
      <c r="L148" s="1442"/>
      <c r="M148" s="1442"/>
      <c r="N148" s="1442"/>
      <c r="O148" s="332"/>
      <c r="P148" s="332"/>
      <c r="Q148" s="1203"/>
      <c r="R148" s="150"/>
      <c r="S148" s="150"/>
      <c r="T148" s="491">
        <v>0</v>
      </c>
      <c r="U148" s="491">
        <v>0</v>
      </c>
      <c r="V148" s="491">
        <v>0</v>
      </c>
      <c r="W148" s="491">
        <v>0</v>
      </c>
      <c r="X148" s="491">
        <v>0</v>
      </c>
      <c r="Y148" s="491">
        <v>0</v>
      </c>
      <c r="Z148" s="491">
        <v>0</v>
      </c>
      <c r="AA148" s="491">
        <v>0</v>
      </c>
      <c r="AB148" s="491">
        <v>0</v>
      </c>
      <c r="AC148" s="491">
        <v>0</v>
      </c>
    </row>
    <row r="149" spans="2:29" outlineLevel="1">
      <c r="B149" s="323" t="s">
        <v>578</v>
      </c>
      <c r="C149" s="315"/>
      <c r="D149" s="1442"/>
      <c r="E149" s="1442"/>
      <c r="F149" s="1442"/>
      <c r="G149" s="1442"/>
      <c r="H149" s="1442"/>
      <c r="I149" s="1442"/>
      <c r="J149" s="1442"/>
      <c r="K149" s="1442"/>
      <c r="L149" s="1442"/>
      <c r="M149" s="1442"/>
      <c r="N149" s="1442"/>
      <c r="O149" s="332"/>
      <c r="P149" s="332"/>
      <c r="Q149" s="1203"/>
      <c r="R149" s="150"/>
      <c r="S149" s="150"/>
      <c r="T149" s="491">
        <v>0</v>
      </c>
      <c r="U149" s="491">
        <v>0</v>
      </c>
      <c r="V149" s="491">
        <v>0</v>
      </c>
      <c r="W149" s="491">
        <v>0</v>
      </c>
      <c r="X149" s="491">
        <v>0</v>
      </c>
      <c r="Y149" s="491">
        <v>0</v>
      </c>
      <c r="Z149" s="491">
        <v>0</v>
      </c>
      <c r="AA149" s="491">
        <v>0</v>
      </c>
      <c r="AB149" s="491">
        <v>0</v>
      </c>
      <c r="AC149" s="491">
        <v>0</v>
      </c>
    </row>
    <row r="150" spans="2:29" outlineLevel="1">
      <c r="B150" s="323" t="s">
        <v>579</v>
      </c>
      <c r="C150" s="315"/>
      <c r="D150" s="1442"/>
      <c r="E150" s="1442"/>
      <c r="F150" s="1442"/>
      <c r="G150" s="1442"/>
      <c r="H150" s="1442"/>
      <c r="I150" s="1442"/>
      <c r="J150" s="1442"/>
      <c r="K150" s="1442"/>
      <c r="L150" s="1442"/>
      <c r="M150" s="1442"/>
      <c r="N150" s="1442"/>
      <c r="O150" s="332"/>
      <c r="P150" s="332"/>
      <c r="Q150" s="1203"/>
      <c r="R150" s="150"/>
      <c r="S150" s="150"/>
      <c r="T150" s="491">
        <v>0</v>
      </c>
      <c r="U150" s="491">
        <v>0</v>
      </c>
      <c r="V150" s="491">
        <v>0</v>
      </c>
      <c r="W150" s="491">
        <v>0</v>
      </c>
      <c r="X150" s="491">
        <v>0</v>
      </c>
      <c r="Y150" s="491">
        <v>0</v>
      </c>
      <c r="Z150" s="491">
        <v>0</v>
      </c>
      <c r="AA150" s="491">
        <v>0</v>
      </c>
      <c r="AB150" s="491">
        <v>0</v>
      </c>
      <c r="AC150" s="491">
        <v>0</v>
      </c>
    </row>
    <row r="151" spans="2:29" outlineLevel="1">
      <c r="B151" s="323" t="s">
        <v>580</v>
      </c>
      <c r="C151" s="315"/>
      <c r="D151" s="1442"/>
      <c r="E151" s="1442"/>
      <c r="F151" s="1442"/>
      <c r="G151" s="1442"/>
      <c r="H151" s="1442"/>
      <c r="I151" s="1442"/>
      <c r="J151" s="1442"/>
      <c r="K151" s="1442"/>
      <c r="L151" s="1442"/>
      <c r="M151" s="1442"/>
      <c r="N151" s="1442"/>
      <c r="O151" s="332"/>
      <c r="P151" s="332"/>
      <c r="Q151" s="1203"/>
      <c r="R151" s="150"/>
      <c r="S151" s="150"/>
      <c r="T151" s="491">
        <v>0</v>
      </c>
      <c r="U151" s="491">
        <v>0</v>
      </c>
      <c r="V151" s="491">
        <v>0</v>
      </c>
      <c r="W151" s="491">
        <v>0</v>
      </c>
      <c r="X151" s="491">
        <v>0</v>
      </c>
      <c r="Y151" s="491">
        <v>0</v>
      </c>
      <c r="Z151" s="491">
        <v>0</v>
      </c>
      <c r="AA151" s="491">
        <v>0</v>
      </c>
      <c r="AB151" s="491">
        <v>0</v>
      </c>
      <c r="AC151" s="491">
        <v>0</v>
      </c>
    </row>
    <row r="152" spans="2:29" outlineLevel="1">
      <c r="B152" s="323" t="s">
        <v>581</v>
      </c>
      <c r="C152" s="315"/>
      <c r="D152" s="1442"/>
      <c r="E152" s="1442"/>
      <c r="F152" s="1442"/>
      <c r="G152" s="1442"/>
      <c r="H152" s="1442"/>
      <c r="I152" s="1442"/>
      <c r="J152" s="1442"/>
      <c r="K152" s="1442"/>
      <c r="L152" s="1442"/>
      <c r="M152" s="1442"/>
      <c r="N152" s="1442"/>
      <c r="O152" s="332"/>
      <c r="P152" s="332"/>
      <c r="Q152" s="1203"/>
      <c r="R152" s="150"/>
      <c r="S152" s="150"/>
      <c r="T152" s="491">
        <v>0</v>
      </c>
      <c r="U152" s="491">
        <v>0</v>
      </c>
      <c r="V152" s="491">
        <v>0</v>
      </c>
      <c r="W152" s="491">
        <v>0</v>
      </c>
      <c r="X152" s="491">
        <v>0</v>
      </c>
      <c r="Y152" s="491">
        <v>0</v>
      </c>
      <c r="Z152" s="491">
        <v>0</v>
      </c>
      <c r="AA152" s="491">
        <v>0</v>
      </c>
      <c r="AB152" s="491">
        <v>0</v>
      </c>
      <c r="AC152" s="491">
        <v>0</v>
      </c>
    </row>
    <row r="153" spans="2:29" outlineLevel="1">
      <c r="B153" s="323" t="s">
        <v>582</v>
      </c>
      <c r="C153" s="315"/>
      <c r="D153" s="1442"/>
      <c r="E153" s="1442"/>
      <c r="F153" s="1442"/>
      <c r="G153" s="1442"/>
      <c r="H153" s="1442"/>
      <c r="I153" s="1442"/>
      <c r="J153" s="1442"/>
      <c r="K153" s="1442"/>
      <c r="L153" s="1442"/>
      <c r="M153" s="1442"/>
      <c r="N153" s="1442"/>
      <c r="O153" s="332"/>
      <c r="P153" s="332"/>
      <c r="Q153" s="1203"/>
      <c r="R153" s="150"/>
      <c r="S153" s="150"/>
      <c r="T153" s="491">
        <v>0</v>
      </c>
      <c r="U153" s="491">
        <v>0</v>
      </c>
      <c r="V153" s="491">
        <v>0</v>
      </c>
      <c r="W153" s="491">
        <v>0</v>
      </c>
      <c r="X153" s="491">
        <v>0</v>
      </c>
      <c r="Y153" s="491">
        <v>0</v>
      </c>
      <c r="Z153" s="491">
        <v>0</v>
      </c>
      <c r="AA153" s="491">
        <v>0</v>
      </c>
      <c r="AB153" s="491">
        <v>0</v>
      </c>
      <c r="AC153" s="491">
        <v>0</v>
      </c>
    </row>
    <row r="154" spans="2:29" outlineLevel="1">
      <c r="B154" s="323" t="s">
        <v>583</v>
      </c>
      <c r="C154" s="315"/>
      <c r="D154" s="1442"/>
      <c r="E154" s="1442"/>
      <c r="F154" s="1442"/>
      <c r="G154" s="1442"/>
      <c r="H154" s="1442"/>
      <c r="I154" s="1442"/>
      <c r="J154" s="1442"/>
      <c r="K154" s="1442"/>
      <c r="L154" s="1442"/>
      <c r="M154" s="1442"/>
      <c r="N154" s="1442"/>
      <c r="O154" s="332"/>
      <c r="P154" s="332"/>
      <c r="Q154" s="1203"/>
      <c r="R154" s="150"/>
      <c r="S154" s="150"/>
      <c r="T154" s="491">
        <v>0</v>
      </c>
      <c r="U154" s="491">
        <v>0</v>
      </c>
      <c r="V154" s="491">
        <v>0</v>
      </c>
      <c r="W154" s="491">
        <v>0</v>
      </c>
      <c r="X154" s="491">
        <v>0</v>
      </c>
      <c r="Y154" s="491">
        <v>0</v>
      </c>
      <c r="Z154" s="491">
        <v>0</v>
      </c>
      <c r="AA154" s="491">
        <v>0</v>
      </c>
      <c r="AB154" s="491">
        <v>0</v>
      </c>
      <c r="AC154" s="491">
        <v>0</v>
      </c>
    </row>
    <row r="155" spans="2:29" outlineLevel="1">
      <c r="B155" s="323" t="s">
        <v>584</v>
      </c>
      <c r="C155" s="315"/>
      <c r="D155" s="1442"/>
      <c r="E155" s="1442"/>
      <c r="F155" s="1442"/>
      <c r="G155" s="1442"/>
      <c r="H155" s="1442"/>
      <c r="I155" s="1442"/>
      <c r="J155" s="1442"/>
      <c r="K155" s="1442"/>
      <c r="L155" s="1442"/>
      <c r="M155" s="1442"/>
      <c r="N155" s="1442"/>
      <c r="O155" s="332"/>
      <c r="P155" s="332"/>
      <c r="Q155" s="1203"/>
      <c r="R155" s="150"/>
      <c r="S155" s="150"/>
      <c r="T155" s="491">
        <v>0</v>
      </c>
      <c r="U155" s="491">
        <v>0</v>
      </c>
      <c r="V155" s="491">
        <v>0</v>
      </c>
      <c r="W155" s="491">
        <v>0</v>
      </c>
      <c r="X155" s="491">
        <v>0</v>
      </c>
      <c r="Y155" s="491">
        <v>0</v>
      </c>
      <c r="Z155" s="491">
        <v>0</v>
      </c>
      <c r="AA155" s="491">
        <v>0</v>
      </c>
      <c r="AB155" s="491">
        <v>0</v>
      </c>
      <c r="AC155" s="491">
        <v>0</v>
      </c>
    </row>
    <row r="156" spans="2:29" outlineLevel="1">
      <c r="B156" s="323" t="s">
        <v>585</v>
      </c>
      <c r="C156" s="315"/>
      <c r="D156" s="1442"/>
      <c r="E156" s="1442"/>
      <c r="F156" s="1442"/>
      <c r="G156" s="1442"/>
      <c r="H156" s="1442"/>
      <c r="I156" s="1442"/>
      <c r="J156" s="1442"/>
      <c r="K156" s="1442"/>
      <c r="L156" s="1442"/>
      <c r="M156" s="1442"/>
      <c r="N156" s="1442"/>
      <c r="O156" s="332"/>
      <c r="P156" s="332"/>
      <c r="Q156" s="1203"/>
      <c r="R156" s="150"/>
      <c r="S156" s="150"/>
      <c r="T156" s="491">
        <v>0</v>
      </c>
      <c r="U156" s="491">
        <v>0</v>
      </c>
      <c r="V156" s="491">
        <v>0</v>
      </c>
      <c r="W156" s="491">
        <v>0</v>
      </c>
      <c r="X156" s="491">
        <v>0</v>
      </c>
      <c r="Y156" s="491">
        <v>0</v>
      </c>
      <c r="Z156" s="491">
        <v>0</v>
      </c>
      <c r="AA156" s="491">
        <v>0</v>
      </c>
      <c r="AB156" s="491">
        <v>0</v>
      </c>
      <c r="AC156" s="491">
        <v>0</v>
      </c>
    </row>
    <row r="157" spans="2:29" outlineLevel="1">
      <c r="B157" s="321" t="s">
        <v>1116</v>
      </c>
      <c r="C157" s="1443" t="s">
        <v>649</v>
      </c>
      <c r="D157" s="1444"/>
      <c r="E157" s="1444"/>
      <c r="F157" s="1444"/>
      <c r="G157" s="1444"/>
      <c r="H157" s="1444"/>
      <c r="I157" s="1444"/>
      <c r="J157" s="1444"/>
      <c r="K157" s="1444"/>
      <c r="L157" s="1444"/>
      <c r="M157" s="1444"/>
      <c r="N157" s="1444"/>
      <c r="O157" s="1444"/>
      <c r="P157" s="1444"/>
      <c r="Q157" s="1445"/>
      <c r="R157" s="150"/>
      <c r="T157" s="491">
        <v>0</v>
      </c>
      <c r="U157" s="491">
        <v>0</v>
      </c>
      <c r="V157" s="491">
        <v>0</v>
      </c>
      <c r="W157" s="491">
        <v>0</v>
      </c>
      <c r="X157" s="491">
        <v>0</v>
      </c>
      <c r="Y157" s="491">
        <v>0</v>
      </c>
      <c r="Z157" s="491">
        <v>0</v>
      </c>
      <c r="AA157" s="491">
        <v>0</v>
      </c>
      <c r="AB157" s="491">
        <v>0</v>
      </c>
      <c r="AC157" s="491">
        <v>0</v>
      </c>
    </row>
    <row r="158" spans="2:29">
      <c r="F158" s="169"/>
      <c r="G158" s="169"/>
      <c r="H158" s="169"/>
      <c r="I158" s="169"/>
      <c r="S158" s="794" t="s">
        <v>1117</v>
      </c>
      <c r="T158" s="487">
        <f t="shared" ref="T158:AC158" si="5">SUM(T148:T157)</f>
        <v>0</v>
      </c>
      <c r="U158" s="488">
        <f t="shared" si="5"/>
        <v>0</v>
      </c>
      <c r="V158" s="488">
        <f t="shared" si="5"/>
        <v>0</v>
      </c>
      <c r="W158" s="488">
        <f t="shared" si="5"/>
        <v>0</v>
      </c>
      <c r="X158" s="488">
        <f t="shared" si="5"/>
        <v>0</v>
      </c>
      <c r="Y158" s="488">
        <f t="shared" si="5"/>
        <v>0</v>
      </c>
      <c r="Z158" s="488">
        <f t="shared" si="5"/>
        <v>0</v>
      </c>
      <c r="AA158" s="489">
        <f t="shared" si="5"/>
        <v>0</v>
      </c>
      <c r="AB158" s="490">
        <f t="shared" si="5"/>
        <v>0</v>
      </c>
      <c r="AC158" s="488">
        <f t="shared" si="5"/>
        <v>0</v>
      </c>
    </row>
    <row r="159" spans="2:29">
      <c r="F159" s="169"/>
      <c r="G159" s="169"/>
      <c r="H159" s="169"/>
      <c r="I159" s="169"/>
      <c r="AB159" s="283"/>
    </row>
    <row r="160" spans="2:29">
      <c r="B160" s="312" t="s">
        <v>586</v>
      </c>
      <c r="C160" s="312"/>
      <c r="D160" s="150" t="s">
        <v>1118</v>
      </c>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287"/>
      <c r="AC160" s="150"/>
    </row>
    <row r="161" spans="2:29" ht="27" outlineLevel="1">
      <c r="B161" s="1185"/>
      <c r="C161" s="789" t="s">
        <v>1100</v>
      </c>
      <c r="D161" s="792"/>
      <c r="E161" s="793"/>
      <c r="F161" s="793"/>
      <c r="G161" s="793"/>
      <c r="H161" s="793"/>
      <c r="I161" s="793"/>
      <c r="J161" s="793"/>
      <c r="K161" s="793"/>
      <c r="L161" s="793"/>
      <c r="M161" s="793"/>
      <c r="N161" s="793"/>
      <c r="O161" s="777" t="s">
        <v>1119</v>
      </c>
      <c r="P161" s="777" t="s">
        <v>1120</v>
      </c>
      <c r="Q161" s="795" t="s">
        <v>1121</v>
      </c>
      <c r="R161" s="150"/>
      <c r="S161" s="150"/>
      <c r="T161" s="327" t="s">
        <v>1122</v>
      </c>
      <c r="U161" s="328" t="s">
        <v>1122</v>
      </c>
      <c r="V161" s="328" t="s">
        <v>1122</v>
      </c>
      <c r="W161" s="328" t="s">
        <v>1122</v>
      </c>
      <c r="X161" s="328" t="s">
        <v>1122</v>
      </c>
      <c r="Y161" s="328" t="s">
        <v>1122</v>
      </c>
      <c r="Z161" s="328" t="s">
        <v>1122</v>
      </c>
      <c r="AA161" s="380" t="s">
        <v>1122</v>
      </c>
      <c r="AB161" s="386" t="s">
        <v>1122</v>
      </c>
      <c r="AC161" s="328" t="s">
        <v>1122</v>
      </c>
    </row>
    <row r="162" spans="2:29" outlineLevel="1">
      <c r="B162" s="333"/>
      <c r="C162" s="341"/>
      <c r="E162" s="166"/>
      <c r="O162" s="341" t="s">
        <v>1123</v>
      </c>
      <c r="P162" s="341" t="s">
        <v>1123</v>
      </c>
      <c r="Q162" s="342" t="s">
        <v>153</v>
      </c>
      <c r="R162" s="150"/>
      <c r="S162" s="150"/>
      <c r="T162" s="329" t="s">
        <v>1124</v>
      </c>
      <c r="U162" s="330" t="s">
        <v>1124</v>
      </c>
      <c r="V162" s="330" t="s">
        <v>1124</v>
      </c>
      <c r="W162" s="330" t="s">
        <v>1124</v>
      </c>
      <c r="X162" s="330" t="s">
        <v>1124</v>
      </c>
      <c r="Y162" s="330" t="s">
        <v>1124</v>
      </c>
      <c r="Z162" s="330" t="s">
        <v>1124</v>
      </c>
      <c r="AA162" s="381" t="s">
        <v>1124</v>
      </c>
      <c r="AB162" s="387" t="s">
        <v>1124</v>
      </c>
      <c r="AC162" s="330" t="s">
        <v>1124</v>
      </c>
    </row>
    <row r="163" spans="2:29" outlineLevel="1">
      <c r="B163" s="343" t="s">
        <v>468</v>
      </c>
      <c r="C163" s="992"/>
      <c r="D163" s="344" t="s">
        <v>575</v>
      </c>
      <c r="E163" s="990"/>
      <c r="F163" s="991"/>
      <c r="G163" s="991"/>
      <c r="H163" s="991"/>
      <c r="I163" s="991"/>
      <c r="J163" s="991"/>
      <c r="K163" s="991"/>
      <c r="L163" s="991"/>
      <c r="M163" s="991"/>
      <c r="N163" s="339"/>
      <c r="O163" s="337" t="s">
        <v>602</v>
      </c>
      <c r="P163" s="337" t="s">
        <v>602</v>
      </c>
      <c r="Q163" s="338"/>
      <c r="R163" s="150"/>
      <c r="S163" s="150"/>
      <c r="T163" s="194" t="s">
        <v>469</v>
      </c>
      <c r="U163" s="195" t="s">
        <v>469</v>
      </c>
      <c r="V163" s="195" t="s">
        <v>469</v>
      </c>
      <c r="W163" s="195" t="s">
        <v>469</v>
      </c>
      <c r="X163" s="195" t="s">
        <v>469</v>
      </c>
      <c r="Y163" s="195" t="s">
        <v>469</v>
      </c>
      <c r="Z163" s="195" t="s">
        <v>469</v>
      </c>
      <c r="AA163" s="277" t="s">
        <v>469</v>
      </c>
      <c r="AB163" s="294" t="s">
        <v>469</v>
      </c>
      <c r="AC163" s="195" t="s">
        <v>469</v>
      </c>
    </row>
    <row r="164" spans="2:29" outlineLevel="1">
      <c r="B164" s="324" t="s">
        <v>588</v>
      </c>
      <c r="C164" s="315"/>
      <c r="D164" s="1442"/>
      <c r="E164" s="1442"/>
      <c r="F164" s="1442"/>
      <c r="G164" s="1442"/>
      <c r="H164" s="1442"/>
      <c r="I164" s="1442"/>
      <c r="J164" s="1442"/>
      <c r="K164" s="1442"/>
      <c r="L164" s="1442"/>
      <c r="M164" s="1442"/>
      <c r="N164" s="1442"/>
      <c r="O164" s="332"/>
      <c r="P164" s="332"/>
      <c r="Q164" s="1204"/>
      <c r="R164" s="150"/>
      <c r="S164" s="150"/>
      <c r="T164" s="491">
        <v>0</v>
      </c>
      <c r="U164" s="491">
        <v>0</v>
      </c>
      <c r="V164" s="491">
        <v>0</v>
      </c>
      <c r="W164" s="491">
        <v>0</v>
      </c>
      <c r="X164" s="491">
        <v>0</v>
      </c>
      <c r="Y164" s="491">
        <v>0</v>
      </c>
      <c r="Z164" s="491">
        <v>0</v>
      </c>
      <c r="AA164" s="491">
        <v>0</v>
      </c>
      <c r="AB164" s="491">
        <v>0</v>
      </c>
      <c r="AC164" s="491">
        <v>0</v>
      </c>
    </row>
    <row r="165" spans="2:29" outlineLevel="1">
      <c r="B165" s="324" t="s">
        <v>589</v>
      </c>
      <c r="C165" s="315"/>
      <c r="D165" s="1442"/>
      <c r="E165" s="1442"/>
      <c r="F165" s="1442"/>
      <c r="G165" s="1442"/>
      <c r="H165" s="1442"/>
      <c r="I165" s="1442"/>
      <c r="J165" s="1442"/>
      <c r="K165" s="1442"/>
      <c r="L165" s="1442"/>
      <c r="M165" s="1442"/>
      <c r="N165" s="1442"/>
      <c r="O165" s="332"/>
      <c r="P165" s="332"/>
      <c r="Q165" s="1204"/>
      <c r="R165" s="150"/>
      <c r="S165" s="150"/>
      <c r="T165" s="491">
        <v>0</v>
      </c>
      <c r="U165" s="491">
        <v>0</v>
      </c>
      <c r="V165" s="491">
        <v>0</v>
      </c>
      <c r="W165" s="491">
        <v>0</v>
      </c>
      <c r="X165" s="491">
        <v>0</v>
      </c>
      <c r="Y165" s="491">
        <v>0</v>
      </c>
      <c r="Z165" s="491">
        <v>0</v>
      </c>
      <c r="AA165" s="491">
        <v>0</v>
      </c>
      <c r="AB165" s="491">
        <v>0</v>
      </c>
      <c r="AC165" s="491">
        <v>0</v>
      </c>
    </row>
    <row r="166" spans="2:29" outlineLevel="1">
      <c r="B166" s="324" t="s">
        <v>590</v>
      </c>
      <c r="C166" s="315"/>
      <c r="D166" s="1442"/>
      <c r="E166" s="1442"/>
      <c r="F166" s="1442"/>
      <c r="G166" s="1442"/>
      <c r="H166" s="1442"/>
      <c r="I166" s="1442"/>
      <c r="J166" s="1442"/>
      <c r="K166" s="1442"/>
      <c r="L166" s="1442"/>
      <c r="M166" s="1442"/>
      <c r="N166" s="1442"/>
      <c r="O166" s="332"/>
      <c r="P166" s="332"/>
      <c r="Q166" s="1204"/>
      <c r="R166" s="150"/>
      <c r="S166" s="150"/>
      <c r="T166" s="491">
        <v>0</v>
      </c>
      <c r="U166" s="491">
        <v>0</v>
      </c>
      <c r="V166" s="491">
        <v>0</v>
      </c>
      <c r="W166" s="491">
        <v>0</v>
      </c>
      <c r="X166" s="491">
        <v>0</v>
      </c>
      <c r="Y166" s="491">
        <v>0</v>
      </c>
      <c r="Z166" s="491">
        <v>0</v>
      </c>
      <c r="AA166" s="491">
        <v>0</v>
      </c>
      <c r="AB166" s="491">
        <v>0</v>
      </c>
      <c r="AC166" s="491">
        <v>0</v>
      </c>
    </row>
    <row r="167" spans="2:29" outlineLevel="1">
      <c r="B167" s="324" t="s">
        <v>591</v>
      </c>
      <c r="C167" s="315"/>
      <c r="D167" s="1442"/>
      <c r="E167" s="1442"/>
      <c r="F167" s="1442"/>
      <c r="G167" s="1442"/>
      <c r="H167" s="1442"/>
      <c r="I167" s="1442"/>
      <c r="J167" s="1442"/>
      <c r="K167" s="1442"/>
      <c r="L167" s="1442"/>
      <c r="M167" s="1442"/>
      <c r="N167" s="1442"/>
      <c r="O167" s="332"/>
      <c r="P167" s="332"/>
      <c r="Q167" s="1204"/>
      <c r="R167" s="150"/>
      <c r="S167" s="150"/>
      <c r="T167" s="491">
        <v>0</v>
      </c>
      <c r="U167" s="491">
        <v>0</v>
      </c>
      <c r="V167" s="491">
        <v>0</v>
      </c>
      <c r="W167" s="491">
        <v>0</v>
      </c>
      <c r="X167" s="491">
        <v>0</v>
      </c>
      <c r="Y167" s="491">
        <v>0</v>
      </c>
      <c r="Z167" s="491">
        <v>0</v>
      </c>
      <c r="AA167" s="491">
        <v>0</v>
      </c>
      <c r="AB167" s="491">
        <v>0</v>
      </c>
      <c r="AC167" s="491">
        <v>0</v>
      </c>
    </row>
    <row r="168" spans="2:29" outlineLevel="1">
      <c r="B168" s="324" t="s">
        <v>592</v>
      </c>
      <c r="C168" s="315"/>
      <c r="D168" s="1442"/>
      <c r="E168" s="1442"/>
      <c r="F168" s="1442"/>
      <c r="G168" s="1442"/>
      <c r="H168" s="1442"/>
      <c r="I168" s="1442"/>
      <c r="J168" s="1442"/>
      <c r="K168" s="1442"/>
      <c r="L168" s="1442"/>
      <c r="M168" s="1442"/>
      <c r="N168" s="1442"/>
      <c r="O168" s="332"/>
      <c r="P168" s="332"/>
      <c r="Q168" s="1204"/>
      <c r="R168" s="150"/>
      <c r="S168" s="150"/>
      <c r="T168" s="491">
        <v>0</v>
      </c>
      <c r="U168" s="491">
        <v>0</v>
      </c>
      <c r="V168" s="491">
        <v>0</v>
      </c>
      <c r="W168" s="491">
        <v>0</v>
      </c>
      <c r="X168" s="491">
        <v>0</v>
      </c>
      <c r="Y168" s="491">
        <v>0</v>
      </c>
      <c r="Z168" s="491">
        <v>0</v>
      </c>
      <c r="AA168" s="491">
        <v>0</v>
      </c>
      <c r="AB168" s="491">
        <v>0</v>
      </c>
      <c r="AC168" s="491">
        <v>0</v>
      </c>
    </row>
    <row r="169" spans="2:29" outlineLevel="1">
      <c r="B169" s="324" t="s">
        <v>593</v>
      </c>
      <c r="C169" s="315"/>
      <c r="D169" s="1442"/>
      <c r="E169" s="1442"/>
      <c r="F169" s="1442"/>
      <c r="G169" s="1442"/>
      <c r="H169" s="1442"/>
      <c r="I169" s="1442"/>
      <c r="J169" s="1442"/>
      <c r="K169" s="1442"/>
      <c r="L169" s="1442"/>
      <c r="M169" s="1442"/>
      <c r="N169" s="1442"/>
      <c r="O169" s="332"/>
      <c r="P169" s="332"/>
      <c r="Q169" s="1204"/>
      <c r="R169" s="150"/>
      <c r="S169" s="150"/>
      <c r="T169" s="491">
        <v>0</v>
      </c>
      <c r="U169" s="491">
        <v>0</v>
      </c>
      <c r="V169" s="491">
        <v>0</v>
      </c>
      <c r="W169" s="491">
        <v>0</v>
      </c>
      <c r="X169" s="491">
        <v>0</v>
      </c>
      <c r="Y169" s="491">
        <v>0</v>
      </c>
      <c r="Z169" s="491">
        <v>0</v>
      </c>
      <c r="AA169" s="491">
        <v>0</v>
      </c>
      <c r="AB169" s="491">
        <v>0</v>
      </c>
      <c r="AC169" s="491">
        <v>0</v>
      </c>
    </row>
    <row r="170" spans="2:29" outlineLevel="1">
      <c r="B170" s="324" t="s">
        <v>594</v>
      </c>
      <c r="C170" s="315"/>
      <c r="D170" s="1442"/>
      <c r="E170" s="1442"/>
      <c r="F170" s="1442"/>
      <c r="G170" s="1442"/>
      <c r="H170" s="1442"/>
      <c r="I170" s="1442"/>
      <c r="J170" s="1442"/>
      <c r="K170" s="1442"/>
      <c r="L170" s="1442"/>
      <c r="M170" s="1442"/>
      <c r="N170" s="1442"/>
      <c r="O170" s="332"/>
      <c r="P170" s="332"/>
      <c r="Q170" s="1204"/>
      <c r="R170" s="150"/>
      <c r="S170" s="150"/>
      <c r="T170" s="491">
        <v>0</v>
      </c>
      <c r="U170" s="491">
        <v>0</v>
      </c>
      <c r="V170" s="491">
        <v>0</v>
      </c>
      <c r="W170" s="491">
        <v>0</v>
      </c>
      <c r="X170" s="491">
        <v>0</v>
      </c>
      <c r="Y170" s="491">
        <v>0</v>
      </c>
      <c r="Z170" s="491">
        <v>0</v>
      </c>
      <c r="AA170" s="491">
        <v>0</v>
      </c>
      <c r="AB170" s="491">
        <v>0</v>
      </c>
      <c r="AC170" s="491">
        <v>0</v>
      </c>
    </row>
    <row r="171" spans="2:29" outlineLevel="1">
      <c r="B171" s="324" t="s">
        <v>595</v>
      </c>
      <c r="C171" s="315"/>
      <c r="D171" s="1442"/>
      <c r="E171" s="1442"/>
      <c r="F171" s="1442"/>
      <c r="G171" s="1442"/>
      <c r="H171" s="1442"/>
      <c r="I171" s="1442"/>
      <c r="J171" s="1442"/>
      <c r="K171" s="1442"/>
      <c r="L171" s="1442"/>
      <c r="M171" s="1442"/>
      <c r="N171" s="1442"/>
      <c r="O171" s="332"/>
      <c r="P171" s="332"/>
      <c r="Q171" s="1204"/>
      <c r="R171" s="150"/>
      <c r="S171" s="150"/>
      <c r="T171" s="491">
        <v>0</v>
      </c>
      <c r="U171" s="491">
        <v>0</v>
      </c>
      <c r="V171" s="491">
        <v>0</v>
      </c>
      <c r="W171" s="491">
        <v>0</v>
      </c>
      <c r="X171" s="491">
        <v>0</v>
      </c>
      <c r="Y171" s="491">
        <v>0</v>
      </c>
      <c r="Z171" s="491">
        <v>0</v>
      </c>
      <c r="AA171" s="491">
        <v>0</v>
      </c>
      <c r="AB171" s="491">
        <v>0</v>
      </c>
      <c r="AC171" s="491">
        <v>0</v>
      </c>
    </row>
    <row r="172" spans="2:29" outlineLevel="1">
      <c r="B172" s="324" t="s">
        <v>596</v>
      </c>
      <c r="C172" s="315"/>
      <c r="D172" s="1442"/>
      <c r="E172" s="1442"/>
      <c r="F172" s="1442"/>
      <c r="G172" s="1442"/>
      <c r="H172" s="1442"/>
      <c r="I172" s="1442"/>
      <c r="J172" s="1442"/>
      <c r="K172" s="1442"/>
      <c r="L172" s="1442"/>
      <c r="M172" s="1442"/>
      <c r="N172" s="1442"/>
      <c r="O172" s="332"/>
      <c r="P172" s="332"/>
      <c r="Q172" s="1204"/>
      <c r="R172" s="150"/>
      <c r="S172" s="150"/>
      <c r="T172" s="491">
        <v>0</v>
      </c>
      <c r="U172" s="491">
        <v>0</v>
      </c>
      <c r="V172" s="491">
        <v>0</v>
      </c>
      <c r="W172" s="491">
        <v>0</v>
      </c>
      <c r="X172" s="491">
        <v>0</v>
      </c>
      <c r="Y172" s="491">
        <v>0</v>
      </c>
      <c r="Z172" s="491">
        <v>0</v>
      </c>
      <c r="AA172" s="491">
        <v>0</v>
      </c>
      <c r="AB172" s="491">
        <v>0</v>
      </c>
      <c r="AC172" s="491">
        <v>0</v>
      </c>
    </row>
    <row r="173" spans="2:29" outlineLevel="1">
      <c r="B173" s="321" t="s">
        <v>1125</v>
      </c>
      <c r="C173" s="1443" t="s">
        <v>649</v>
      </c>
      <c r="D173" s="1444"/>
      <c r="E173" s="1444"/>
      <c r="F173" s="1444"/>
      <c r="G173" s="1444"/>
      <c r="H173" s="1444"/>
      <c r="I173" s="1444"/>
      <c r="J173" s="1444"/>
      <c r="K173" s="1444"/>
      <c r="L173" s="1444"/>
      <c r="M173" s="1444"/>
      <c r="N173" s="1444"/>
      <c r="O173" s="1444"/>
      <c r="P173" s="1444"/>
      <c r="Q173" s="1445"/>
      <c r="R173" s="150"/>
      <c r="T173" s="491">
        <v>0</v>
      </c>
      <c r="U173" s="491">
        <v>0</v>
      </c>
      <c r="V173" s="491">
        <v>0</v>
      </c>
      <c r="W173" s="491">
        <v>0</v>
      </c>
      <c r="X173" s="491">
        <v>0</v>
      </c>
      <c r="Y173" s="491">
        <v>0</v>
      </c>
      <c r="Z173" s="491">
        <v>0</v>
      </c>
      <c r="AA173" s="491">
        <v>0</v>
      </c>
      <c r="AB173" s="491">
        <v>0</v>
      </c>
      <c r="AC173" s="491">
        <v>0</v>
      </c>
    </row>
    <row r="174" spans="2:29">
      <c r="F174" s="169"/>
      <c r="G174" s="169"/>
      <c r="H174" s="169"/>
      <c r="I174" s="169"/>
      <c r="R174" s="150"/>
      <c r="S174" s="985" t="s">
        <v>1126</v>
      </c>
      <c r="T174" s="487">
        <f t="shared" ref="T174:AC174" si="6">SUM(T164:T173)</f>
        <v>0</v>
      </c>
      <c r="U174" s="488">
        <f t="shared" si="6"/>
        <v>0</v>
      </c>
      <c r="V174" s="488">
        <f t="shared" si="6"/>
        <v>0</v>
      </c>
      <c r="W174" s="488">
        <f t="shared" si="6"/>
        <v>0</v>
      </c>
      <c r="X174" s="488">
        <f t="shared" si="6"/>
        <v>0</v>
      </c>
      <c r="Y174" s="488">
        <f t="shared" si="6"/>
        <v>0</v>
      </c>
      <c r="Z174" s="488">
        <f t="shared" si="6"/>
        <v>0</v>
      </c>
      <c r="AA174" s="489">
        <f t="shared" si="6"/>
        <v>0</v>
      </c>
      <c r="AB174" s="490">
        <f t="shared" si="6"/>
        <v>0</v>
      </c>
      <c r="AC174" s="488">
        <f t="shared" si="6"/>
        <v>0</v>
      </c>
    </row>
    <row r="175" spans="2:29">
      <c r="F175" s="169"/>
      <c r="G175" s="169"/>
      <c r="H175" s="169"/>
      <c r="I175" s="169"/>
      <c r="AB175" s="283"/>
    </row>
    <row r="176" spans="2:29">
      <c r="B176" s="312" t="s">
        <v>597</v>
      </c>
      <c r="C176" s="312"/>
      <c r="D176" s="171" t="s">
        <v>884</v>
      </c>
      <c r="E176" s="150"/>
      <c r="AB176" s="283"/>
    </row>
    <row r="177" spans="2:29" outlineLevel="1">
      <c r="AB177" s="283"/>
    </row>
    <row r="178" spans="2:29" ht="31.5" customHeight="1" outlineLevel="1">
      <c r="B178" s="1182"/>
      <c r="C178" s="789" t="s">
        <v>1100</v>
      </c>
      <c r="D178" s="777" t="s">
        <v>599</v>
      </c>
      <c r="E178" s="778" t="s">
        <v>600</v>
      </c>
      <c r="F178" s="1460" t="s">
        <v>601</v>
      </c>
      <c r="G178" s="778" t="s">
        <v>653</v>
      </c>
      <c r="H178" s="777" t="s">
        <v>654</v>
      </c>
      <c r="I178" s="778" t="s">
        <v>655</v>
      </c>
      <c r="J178" s="789" t="s">
        <v>656</v>
      </c>
      <c r="K178" s="778" t="s">
        <v>653</v>
      </c>
      <c r="L178" s="777" t="s">
        <v>653</v>
      </c>
      <c r="M178" s="778" t="s">
        <v>653</v>
      </c>
      <c r="N178" s="777" t="s">
        <v>1127</v>
      </c>
      <c r="O178" s="778" t="s">
        <v>1127</v>
      </c>
      <c r="P178" s="777" t="s">
        <v>1127</v>
      </c>
      <c r="Q178" s="1186" t="s">
        <v>1121</v>
      </c>
      <c r="AB178" s="283"/>
    </row>
    <row r="179" spans="2:29" s="521" customFormat="1" ht="45.75" customHeight="1" outlineLevel="1">
      <c r="B179" s="516" t="s">
        <v>468</v>
      </c>
      <c r="C179" s="517"/>
      <c r="D179" s="517" t="s">
        <v>602</v>
      </c>
      <c r="E179" s="984" t="s">
        <v>602</v>
      </c>
      <c r="F179" s="1461"/>
      <c r="G179" s="993" t="s">
        <v>137</v>
      </c>
      <c r="H179" s="518" t="s">
        <v>137</v>
      </c>
      <c r="I179" s="994" t="s">
        <v>469</v>
      </c>
      <c r="J179" s="518" t="s">
        <v>657</v>
      </c>
      <c r="K179" s="993" t="s">
        <v>1128</v>
      </c>
      <c r="L179" s="519" t="s">
        <v>1129</v>
      </c>
      <c r="M179" s="995" t="s">
        <v>1130</v>
      </c>
      <c r="N179" s="518" t="s">
        <v>1128</v>
      </c>
      <c r="O179" s="995" t="s">
        <v>1131</v>
      </c>
      <c r="P179" s="519" t="s">
        <v>1130</v>
      </c>
      <c r="Q179" s="520" t="s">
        <v>153</v>
      </c>
      <c r="T179" s="522" t="s">
        <v>469</v>
      </c>
      <c r="U179" s="523" t="s">
        <v>469</v>
      </c>
      <c r="V179" s="523" t="s">
        <v>469</v>
      </c>
      <c r="W179" s="523" t="s">
        <v>469</v>
      </c>
      <c r="X179" s="523" t="s">
        <v>469</v>
      </c>
      <c r="Y179" s="523" t="s">
        <v>469</v>
      </c>
      <c r="Z179" s="523" t="s">
        <v>469</v>
      </c>
      <c r="AA179" s="524" t="s">
        <v>469</v>
      </c>
      <c r="AB179" s="525" t="s">
        <v>469</v>
      </c>
      <c r="AC179" s="523" t="s">
        <v>469</v>
      </c>
    </row>
    <row r="180" spans="2:29" outlineLevel="1">
      <c r="B180" s="345" t="s">
        <v>603</v>
      </c>
      <c r="C180" s="332" t="s">
        <v>1132</v>
      </c>
      <c r="D180" s="332">
        <v>41171</v>
      </c>
      <c r="E180" s="332">
        <v>48484</v>
      </c>
      <c r="F180" s="346" t="s">
        <v>1133</v>
      </c>
      <c r="G180" s="317" t="s">
        <v>139</v>
      </c>
      <c r="H180" s="317" t="s">
        <v>138</v>
      </c>
      <c r="I180" s="353">
        <v>80.45</v>
      </c>
      <c r="J180" s="347" t="s">
        <v>1134</v>
      </c>
      <c r="K180" s="354" t="s">
        <v>936</v>
      </c>
      <c r="L180" s="348">
        <v>3.3500000000000002E-2</v>
      </c>
      <c r="M180" s="348" t="s">
        <v>1135</v>
      </c>
      <c r="N180" s="349" t="s">
        <v>127</v>
      </c>
      <c r="O180" s="350">
        <v>1.0999999999999999E-2</v>
      </c>
      <c r="P180" s="351" t="s">
        <v>1136</v>
      </c>
      <c r="Q180" s="322" t="s">
        <v>1137</v>
      </c>
      <c r="T180" s="491">
        <v>0</v>
      </c>
      <c r="U180" s="491">
        <v>0</v>
      </c>
      <c r="V180" s="491">
        <v>0</v>
      </c>
      <c r="W180" s="491">
        <v>0</v>
      </c>
      <c r="X180" s="491">
        <v>0</v>
      </c>
      <c r="Y180" s="491">
        <v>0</v>
      </c>
      <c r="Z180" s="491">
        <v>0</v>
      </c>
      <c r="AA180" s="491">
        <v>0</v>
      </c>
      <c r="AB180" s="491">
        <v>0</v>
      </c>
      <c r="AC180" s="491">
        <v>0</v>
      </c>
    </row>
    <row r="181" spans="2:29" outlineLevel="1">
      <c r="B181" s="345" t="s">
        <v>604</v>
      </c>
      <c r="C181" s="332" t="s">
        <v>1138</v>
      </c>
      <c r="D181" s="332">
        <v>41297</v>
      </c>
      <c r="E181" s="332">
        <v>49339</v>
      </c>
      <c r="F181" s="346" t="s">
        <v>1139</v>
      </c>
      <c r="G181" s="317" t="s">
        <v>139</v>
      </c>
      <c r="H181" s="317" t="s">
        <v>138</v>
      </c>
      <c r="I181" s="353">
        <v>84</v>
      </c>
      <c r="J181" s="347" t="s">
        <v>1134</v>
      </c>
      <c r="K181" s="354" t="s">
        <v>936</v>
      </c>
      <c r="L181" s="348">
        <v>3.2099999999999997E-2</v>
      </c>
      <c r="M181" s="348" t="s">
        <v>1135</v>
      </c>
      <c r="N181" s="349" t="s">
        <v>127</v>
      </c>
      <c r="O181" s="350">
        <v>1.01E-2</v>
      </c>
      <c r="P181" s="351" t="s">
        <v>1136</v>
      </c>
      <c r="Q181" s="322" t="s">
        <v>1137</v>
      </c>
      <c r="T181" s="491">
        <v>0</v>
      </c>
      <c r="U181" s="491">
        <v>0</v>
      </c>
      <c r="V181" s="491">
        <v>0</v>
      </c>
      <c r="W181" s="491">
        <v>0</v>
      </c>
      <c r="X181" s="491">
        <v>0</v>
      </c>
      <c r="Y181" s="491">
        <v>0</v>
      </c>
      <c r="Z181" s="491">
        <v>0</v>
      </c>
      <c r="AA181" s="491">
        <v>0</v>
      </c>
      <c r="AB181" s="491">
        <v>0</v>
      </c>
      <c r="AC181" s="491">
        <v>0</v>
      </c>
    </row>
    <row r="182" spans="2:29" outlineLevel="1">
      <c r="B182" s="345" t="s">
        <v>605</v>
      </c>
      <c r="C182" s="332" t="s">
        <v>1140</v>
      </c>
      <c r="D182" s="332">
        <v>40802</v>
      </c>
      <c r="E182" s="332">
        <v>46288</v>
      </c>
      <c r="F182" s="346" t="s">
        <v>1141</v>
      </c>
      <c r="G182" s="317" t="s">
        <v>141</v>
      </c>
      <c r="H182" s="317" t="s">
        <v>138</v>
      </c>
      <c r="I182" s="353">
        <v>20.324525770000001</v>
      </c>
      <c r="J182" s="347" t="s">
        <v>1134</v>
      </c>
      <c r="K182" s="354" t="s">
        <v>936</v>
      </c>
      <c r="L182" s="348">
        <v>3.3000000000000002E-2</v>
      </c>
      <c r="M182" s="348" t="s">
        <v>1135</v>
      </c>
      <c r="N182" s="349" t="s">
        <v>127</v>
      </c>
      <c r="O182" s="350">
        <v>1.15E-2</v>
      </c>
      <c r="P182" s="351" t="s">
        <v>1136</v>
      </c>
      <c r="Q182" s="322" t="s">
        <v>1142</v>
      </c>
      <c r="T182" s="491">
        <v>0</v>
      </c>
      <c r="U182" s="491">
        <v>0</v>
      </c>
      <c r="V182" s="491">
        <v>0</v>
      </c>
      <c r="W182" s="491">
        <v>0</v>
      </c>
      <c r="X182" s="491">
        <v>0</v>
      </c>
      <c r="Y182" s="491">
        <v>0</v>
      </c>
      <c r="Z182" s="491">
        <v>0</v>
      </c>
      <c r="AA182" s="491">
        <v>0</v>
      </c>
      <c r="AB182" s="491">
        <v>0</v>
      </c>
      <c r="AC182" s="491">
        <v>0</v>
      </c>
    </row>
    <row r="183" spans="2:29" outlineLevel="1">
      <c r="B183" s="345" t="s">
        <v>606</v>
      </c>
      <c r="C183" s="332" t="s">
        <v>1143</v>
      </c>
      <c r="D183" s="332">
        <v>41248</v>
      </c>
      <c r="E183" s="332">
        <v>46734</v>
      </c>
      <c r="F183" s="346" t="s">
        <v>1144</v>
      </c>
      <c r="G183" s="317" t="s">
        <v>141</v>
      </c>
      <c r="H183" s="317" t="s">
        <v>138</v>
      </c>
      <c r="I183" s="353">
        <v>24.047448559999999</v>
      </c>
      <c r="J183" s="347" t="s">
        <v>1134</v>
      </c>
      <c r="K183" s="354" t="s">
        <v>936</v>
      </c>
      <c r="L183" s="348">
        <v>3.1E-2</v>
      </c>
      <c r="M183" s="348" t="s">
        <v>1135</v>
      </c>
      <c r="N183" s="349" t="s">
        <v>127</v>
      </c>
      <c r="O183" s="350">
        <v>9.7999999999999997E-3</v>
      </c>
      <c r="P183" s="351" t="s">
        <v>1136</v>
      </c>
      <c r="Q183" s="322" t="s">
        <v>1142</v>
      </c>
      <c r="T183" s="491">
        <v>0</v>
      </c>
      <c r="U183" s="491">
        <v>0</v>
      </c>
      <c r="V183" s="491">
        <v>0</v>
      </c>
      <c r="W183" s="491">
        <v>0</v>
      </c>
      <c r="X183" s="491">
        <v>0</v>
      </c>
      <c r="Y183" s="491">
        <v>0</v>
      </c>
      <c r="Z183" s="491">
        <v>0</v>
      </c>
      <c r="AA183" s="491">
        <v>0</v>
      </c>
      <c r="AB183" s="491">
        <v>0</v>
      </c>
      <c r="AC183" s="491">
        <v>0</v>
      </c>
    </row>
    <row r="184" spans="2:29" outlineLevel="1">
      <c r="B184" s="345" t="s">
        <v>607</v>
      </c>
      <c r="C184" s="332" t="s">
        <v>1145</v>
      </c>
      <c r="D184" s="332">
        <v>41302</v>
      </c>
      <c r="E184" s="332">
        <v>46790</v>
      </c>
      <c r="F184" s="346" t="s">
        <v>1146</v>
      </c>
      <c r="G184" s="317" t="s">
        <v>141</v>
      </c>
      <c r="H184" s="317" t="s">
        <v>138</v>
      </c>
      <c r="I184" s="353">
        <v>24.608398350000002</v>
      </c>
      <c r="J184" s="347" t="s">
        <v>1134</v>
      </c>
      <c r="K184" s="354" t="s">
        <v>936</v>
      </c>
      <c r="L184" s="348">
        <v>3.2500000000000001E-2</v>
      </c>
      <c r="M184" s="348" t="s">
        <v>1135</v>
      </c>
      <c r="N184" s="349" t="s">
        <v>127</v>
      </c>
      <c r="O184" s="350">
        <v>8.8000000000000005E-3</v>
      </c>
      <c r="P184" s="351" t="s">
        <v>1136</v>
      </c>
      <c r="Q184" s="322" t="s">
        <v>1137</v>
      </c>
      <c r="T184" s="491">
        <v>0</v>
      </c>
      <c r="U184" s="491">
        <v>0</v>
      </c>
      <c r="V184" s="491">
        <v>0</v>
      </c>
      <c r="W184" s="491">
        <v>0</v>
      </c>
      <c r="X184" s="491">
        <v>0</v>
      </c>
      <c r="Y184" s="491">
        <v>0</v>
      </c>
      <c r="Z184" s="491">
        <v>0</v>
      </c>
      <c r="AA184" s="491">
        <v>0</v>
      </c>
      <c r="AB184" s="491">
        <v>0</v>
      </c>
      <c r="AC184" s="491">
        <v>0</v>
      </c>
    </row>
    <row r="185" spans="2:29" outlineLevel="1">
      <c r="B185" s="345" t="s">
        <v>608</v>
      </c>
      <c r="C185" s="332" t="s">
        <v>1147</v>
      </c>
      <c r="D185" s="332">
        <v>41296</v>
      </c>
      <c r="E185" s="332">
        <v>45686</v>
      </c>
      <c r="F185" s="346" t="s">
        <v>1148</v>
      </c>
      <c r="G185" s="317" t="s">
        <v>965</v>
      </c>
      <c r="H185" s="317" t="s">
        <v>138</v>
      </c>
      <c r="I185" s="353">
        <v>134.71308099999999</v>
      </c>
      <c r="J185" s="347" t="s">
        <v>1134</v>
      </c>
      <c r="K185" s="354" t="s">
        <v>936</v>
      </c>
      <c r="L185" s="348">
        <v>4.3499999999999997E-2</v>
      </c>
      <c r="M185" s="348" t="s">
        <v>1135</v>
      </c>
      <c r="N185" s="349" t="s">
        <v>127</v>
      </c>
      <c r="O185" s="350">
        <v>8.3000000000000001E-3</v>
      </c>
      <c r="P185" s="351" t="s">
        <v>1136</v>
      </c>
      <c r="Q185" s="322" t="s">
        <v>1142</v>
      </c>
      <c r="T185" s="491">
        <v>0</v>
      </c>
      <c r="U185" s="491">
        <v>0</v>
      </c>
      <c r="V185" s="491">
        <v>0</v>
      </c>
      <c r="W185" s="491">
        <v>0</v>
      </c>
      <c r="X185" s="491">
        <v>0</v>
      </c>
      <c r="Y185" s="491">
        <v>0</v>
      </c>
      <c r="Z185" s="491">
        <v>0</v>
      </c>
      <c r="AA185" s="491">
        <v>0</v>
      </c>
      <c r="AB185" s="491">
        <v>0</v>
      </c>
      <c r="AC185" s="491">
        <v>0</v>
      </c>
    </row>
    <row r="186" spans="2:29" outlineLevel="1">
      <c r="B186" s="345" t="s">
        <v>609</v>
      </c>
      <c r="C186" s="332" t="s">
        <v>1149</v>
      </c>
      <c r="D186" s="332">
        <v>43431</v>
      </c>
      <c r="E186" s="332">
        <v>48918</v>
      </c>
      <c r="F186" s="346" t="s">
        <v>1150</v>
      </c>
      <c r="G186" s="317" t="s">
        <v>965</v>
      </c>
      <c r="H186" s="317" t="s">
        <v>138</v>
      </c>
      <c r="I186" s="353">
        <v>91.248999999999995</v>
      </c>
      <c r="J186" s="347" t="s">
        <v>1134</v>
      </c>
      <c r="K186" s="354" t="s">
        <v>936</v>
      </c>
      <c r="L186" s="348">
        <v>2.1350000000000001E-2</v>
      </c>
      <c r="M186" s="348">
        <v>0</v>
      </c>
      <c r="N186" s="349" t="s">
        <v>936</v>
      </c>
      <c r="O186" s="350">
        <v>2.7935000000000001E-2</v>
      </c>
      <c r="P186" s="351">
        <v>0</v>
      </c>
      <c r="Q186" s="322" t="s">
        <v>1151</v>
      </c>
      <c r="T186" s="491">
        <v>10.199999999999999</v>
      </c>
      <c r="U186" s="491">
        <v>10.299999999999999</v>
      </c>
      <c r="V186" s="491">
        <v>10.473246849999999</v>
      </c>
      <c r="W186" s="491">
        <v>10.632526319999998</v>
      </c>
      <c r="X186" s="491">
        <v>10.798789479999998</v>
      </c>
      <c r="Y186" s="491">
        <v>10.965052639999998</v>
      </c>
      <c r="Z186" s="491">
        <v>11.131315799999998</v>
      </c>
      <c r="AA186" s="491">
        <v>11.290595269999997</v>
      </c>
      <c r="AB186" s="491">
        <v>11.456858429999997</v>
      </c>
      <c r="AC186" s="491">
        <v>11.623121589999997</v>
      </c>
    </row>
    <row r="187" spans="2:29" outlineLevel="1">
      <c r="B187" s="345" t="s">
        <v>610</v>
      </c>
      <c r="C187" s="332" t="s">
        <v>1152</v>
      </c>
      <c r="D187" s="332">
        <v>43504</v>
      </c>
      <c r="E187" s="332">
        <v>50816</v>
      </c>
      <c r="F187" s="346" t="s">
        <v>1153</v>
      </c>
      <c r="G187" s="317" t="s">
        <v>139</v>
      </c>
      <c r="H187" s="317" t="s">
        <v>138</v>
      </c>
      <c r="I187" s="353">
        <v>98.438000000000002</v>
      </c>
      <c r="J187" s="347" t="s">
        <v>1134</v>
      </c>
      <c r="K187" s="354" t="s">
        <v>936</v>
      </c>
      <c r="L187" s="348">
        <v>2.0369999999999999E-2</v>
      </c>
      <c r="M187" s="348">
        <v>0</v>
      </c>
      <c r="N187" s="349" t="s">
        <v>936</v>
      </c>
      <c r="O187" s="350">
        <v>2.7060000000000001E-2</v>
      </c>
      <c r="P187" s="351">
        <v>0</v>
      </c>
      <c r="Q187" s="322" t="s">
        <v>1154</v>
      </c>
      <c r="T187" s="491">
        <v>4.8</v>
      </c>
      <c r="U187" s="491">
        <v>4.0999999999999996</v>
      </c>
      <c r="V187" s="491">
        <v>3.3692535099999996</v>
      </c>
      <c r="W187" s="491">
        <v>2.6336042699999997</v>
      </c>
      <c r="X187" s="491">
        <v>1.8962118599999997</v>
      </c>
      <c r="Y187" s="491">
        <v>1.1633791799999997</v>
      </c>
      <c r="Z187" s="491">
        <v>0.43062491999999974</v>
      </c>
      <c r="AA187" s="491">
        <v>-0.30502432000000024</v>
      </c>
      <c r="AB187" s="491">
        <v>-1.0424167300000002</v>
      </c>
      <c r="AC187" s="491">
        <v>-1.7752494100000002</v>
      </c>
    </row>
    <row r="188" spans="2:29" outlineLevel="1">
      <c r="B188" s="345" t="s">
        <v>611</v>
      </c>
      <c r="C188" s="332" t="s">
        <v>1155</v>
      </c>
      <c r="D188" s="332">
        <v>43732</v>
      </c>
      <c r="E188" s="332">
        <v>49221</v>
      </c>
      <c r="F188" s="346" t="s">
        <v>1156</v>
      </c>
      <c r="G188" s="317" t="s">
        <v>1021</v>
      </c>
      <c r="H188" s="317" t="s">
        <v>138</v>
      </c>
      <c r="I188" s="353">
        <v>38.190845109999998</v>
      </c>
      <c r="J188" s="347" t="s">
        <v>1134</v>
      </c>
      <c r="K188" s="354" t="s">
        <v>936</v>
      </c>
      <c r="L188" s="348">
        <v>2.7099999999999999E-2</v>
      </c>
      <c r="M188" s="348" t="s">
        <v>1135</v>
      </c>
      <c r="N188" s="349" t="s">
        <v>127</v>
      </c>
      <c r="O188" s="350">
        <v>1.0500000000000001E-2</v>
      </c>
      <c r="P188" s="351" t="s">
        <v>1136</v>
      </c>
      <c r="Q188" s="322" t="s">
        <v>1157</v>
      </c>
      <c r="T188" s="491">
        <v>0</v>
      </c>
      <c r="U188" s="491">
        <v>0</v>
      </c>
      <c r="V188" s="491">
        <v>0</v>
      </c>
      <c r="W188" s="491">
        <v>0</v>
      </c>
      <c r="X188" s="491">
        <v>0</v>
      </c>
      <c r="Y188" s="491">
        <v>0</v>
      </c>
      <c r="Z188" s="491">
        <v>0</v>
      </c>
      <c r="AA188" s="491">
        <v>0</v>
      </c>
      <c r="AB188" s="491">
        <v>0</v>
      </c>
      <c r="AC188" s="491">
        <v>0</v>
      </c>
    </row>
    <row r="189" spans="2:29" outlineLevel="1">
      <c r="B189" s="345" t="s">
        <v>612</v>
      </c>
      <c r="C189" s="332" t="s">
        <v>1158</v>
      </c>
      <c r="D189" s="332">
        <v>43802</v>
      </c>
      <c r="E189" s="332">
        <v>51114</v>
      </c>
      <c r="F189" s="346" t="s">
        <v>1159</v>
      </c>
      <c r="G189" s="317" t="s">
        <v>1021</v>
      </c>
      <c r="H189" s="317" t="s">
        <v>138</v>
      </c>
      <c r="I189" s="353">
        <v>43.363678999999998</v>
      </c>
      <c r="J189" s="347" t="s">
        <v>1134</v>
      </c>
      <c r="K189" s="354" t="s">
        <v>936</v>
      </c>
      <c r="L189" s="348">
        <v>3.1199999999999999E-2</v>
      </c>
      <c r="M189" s="348" t="s">
        <v>1135</v>
      </c>
      <c r="N189" s="349" t="s">
        <v>936</v>
      </c>
      <c r="O189" s="350">
        <v>2.2169999999999999E-2</v>
      </c>
      <c r="P189" s="351" t="s">
        <v>1135</v>
      </c>
      <c r="Q189" s="322" t="s">
        <v>1160</v>
      </c>
      <c r="T189" s="491">
        <v>2.2999999999999998</v>
      </c>
      <c r="U189" s="491">
        <v>2.6999999999999997</v>
      </c>
      <c r="V189" s="491">
        <v>3.1962730299999995</v>
      </c>
      <c r="W189" s="491">
        <v>3.6942163499999996</v>
      </c>
      <c r="X189" s="491">
        <v>4.1887447499999997</v>
      </c>
      <c r="Y189" s="491">
        <v>4.6865483999999995</v>
      </c>
      <c r="Z189" s="491">
        <v>5.1841848199999996</v>
      </c>
      <c r="AA189" s="491">
        <v>5.6821281399999997</v>
      </c>
      <c r="AB189" s="491">
        <v>6.1766565399999998</v>
      </c>
      <c r="AC189" s="491">
        <v>6.6744601899999996</v>
      </c>
    </row>
    <row r="190" spans="2:29" outlineLevel="1">
      <c r="B190" s="345" t="s">
        <v>613</v>
      </c>
      <c r="C190" s="332" t="s">
        <v>1161</v>
      </c>
      <c r="D190" s="332">
        <v>43843</v>
      </c>
      <c r="E190" s="332">
        <v>45677</v>
      </c>
      <c r="F190" s="346" t="s">
        <v>1162</v>
      </c>
      <c r="G190" s="317" t="s">
        <v>139</v>
      </c>
      <c r="H190" s="317" t="s">
        <v>138</v>
      </c>
      <c r="I190" s="353">
        <v>342.52</v>
      </c>
      <c r="J190" s="347" t="s">
        <v>1134</v>
      </c>
      <c r="K190" s="354" t="s">
        <v>936</v>
      </c>
      <c r="L190" s="348">
        <v>1.9E-3</v>
      </c>
      <c r="M190" s="348" t="s">
        <v>1135</v>
      </c>
      <c r="N190" s="349" t="s">
        <v>936</v>
      </c>
      <c r="O190" s="350">
        <v>1.3518000000000001E-2</v>
      </c>
      <c r="P190" s="351" t="s">
        <v>1135</v>
      </c>
      <c r="Q190" s="322" t="s">
        <v>1163</v>
      </c>
      <c r="T190" s="491">
        <v>2.7</v>
      </c>
      <c r="U190" s="491">
        <v>-1.1999999999999997</v>
      </c>
      <c r="V190" s="491">
        <v>-5.1788731899999991</v>
      </c>
      <c r="W190" s="491">
        <v>0</v>
      </c>
      <c r="X190" s="491">
        <v>0</v>
      </c>
      <c r="Y190" s="491">
        <v>0</v>
      </c>
      <c r="Z190" s="491">
        <v>0</v>
      </c>
      <c r="AA190" s="491">
        <v>0</v>
      </c>
      <c r="AB190" s="491">
        <v>0</v>
      </c>
      <c r="AC190" s="491">
        <v>0</v>
      </c>
    </row>
    <row r="191" spans="2:29" outlineLevel="1">
      <c r="B191" s="345" t="s">
        <v>614</v>
      </c>
      <c r="C191" s="332" t="s">
        <v>1164</v>
      </c>
      <c r="D191" s="332">
        <v>43843</v>
      </c>
      <c r="E191" s="332">
        <v>45677</v>
      </c>
      <c r="F191" s="346" t="s">
        <v>1165</v>
      </c>
      <c r="G191" s="317" t="s">
        <v>139</v>
      </c>
      <c r="H191" s="317" t="s">
        <v>138</v>
      </c>
      <c r="I191" s="353">
        <v>85.763293310000009</v>
      </c>
      <c r="J191" s="347" t="s">
        <v>1134</v>
      </c>
      <c r="K191" s="354" t="s">
        <v>936</v>
      </c>
      <c r="L191" s="348">
        <v>1.9E-3</v>
      </c>
      <c r="M191" s="348" t="s">
        <v>1135</v>
      </c>
      <c r="N191" s="349" t="s">
        <v>936</v>
      </c>
      <c r="O191" s="350">
        <v>1.346E-2</v>
      </c>
      <c r="P191" s="351" t="s">
        <v>1135</v>
      </c>
      <c r="Q191" s="322" t="s">
        <v>1166</v>
      </c>
      <c r="T191" s="491">
        <v>0.8</v>
      </c>
      <c r="U191" s="491">
        <v>-0.19999999999999996</v>
      </c>
      <c r="V191" s="491">
        <v>-1.19155458</v>
      </c>
      <c r="W191" s="491">
        <v>0</v>
      </c>
      <c r="X191" s="491">
        <v>0</v>
      </c>
      <c r="Y191" s="491">
        <v>0</v>
      </c>
      <c r="Z191" s="491">
        <v>0</v>
      </c>
      <c r="AA191" s="491">
        <v>0</v>
      </c>
      <c r="AB191" s="491">
        <v>0</v>
      </c>
      <c r="AC191" s="491">
        <v>0</v>
      </c>
    </row>
    <row r="192" spans="2:29" outlineLevel="1">
      <c r="B192" s="345" t="s">
        <v>615</v>
      </c>
      <c r="C192" s="332" t="s">
        <v>1167</v>
      </c>
      <c r="D192" s="332">
        <v>43846</v>
      </c>
      <c r="E192" s="332">
        <v>46776</v>
      </c>
      <c r="F192" s="346" t="s">
        <v>1168</v>
      </c>
      <c r="G192" s="317" t="s">
        <v>138</v>
      </c>
      <c r="H192" s="317" t="s">
        <v>141</v>
      </c>
      <c r="I192" s="353">
        <v>422</v>
      </c>
      <c r="J192" s="347" t="s">
        <v>1134</v>
      </c>
      <c r="K192" s="354" t="s">
        <v>936</v>
      </c>
      <c r="L192" s="348">
        <v>2.2450000000000001E-2</v>
      </c>
      <c r="M192" s="348" t="s">
        <v>1135</v>
      </c>
      <c r="N192" s="349" t="s">
        <v>936</v>
      </c>
      <c r="O192" s="350">
        <v>1.384E-2</v>
      </c>
      <c r="P192" s="351" t="s">
        <v>1135</v>
      </c>
      <c r="Q192" s="322" t="s">
        <v>1157</v>
      </c>
      <c r="T192" s="491">
        <v>-0.4</v>
      </c>
      <c r="U192" s="491">
        <v>-0.10000000000000003</v>
      </c>
      <c r="V192" s="491">
        <v>0.2437299</v>
      </c>
      <c r="W192" s="491">
        <v>0.58934842000000009</v>
      </c>
      <c r="X192" s="491">
        <v>0.93402263000000008</v>
      </c>
      <c r="Y192" s="491">
        <v>1.2786968400000001</v>
      </c>
      <c r="Z192" s="491">
        <v>0</v>
      </c>
      <c r="AA192" s="491">
        <v>0</v>
      </c>
      <c r="AB192" s="491">
        <v>0</v>
      </c>
      <c r="AC192" s="491">
        <v>0</v>
      </c>
    </row>
    <row r="193" spans="2:29" outlineLevel="1">
      <c r="B193" s="345" t="s">
        <v>616</v>
      </c>
      <c r="C193" s="332" t="s">
        <v>1169</v>
      </c>
      <c r="D193" s="332">
        <v>43852</v>
      </c>
      <c r="E193" s="332">
        <v>47877</v>
      </c>
      <c r="F193" s="346" t="s">
        <v>1170</v>
      </c>
      <c r="G193" s="317" t="s">
        <v>138</v>
      </c>
      <c r="H193" s="317" t="s">
        <v>140</v>
      </c>
      <c r="I193" s="353">
        <v>85</v>
      </c>
      <c r="J193" s="347" t="s">
        <v>1134</v>
      </c>
      <c r="K193" s="354" t="s">
        <v>936</v>
      </c>
      <c r="L193" s="348">
        <v>2.5000000000000001E-2</v>
      </c>
      <c r="M193" s="348" t="s">
        <v>1135</v>
      </c>
      <c r="N193" s="349" t="s">
        <v>936</v>
      </c>
      <c r="O193" s="350">
        <v>1.5769999999999999E-2</v>
      </c>
      <c r="P193" s="351" t="s">
        <v>1135</v>
      </c>
      <c r="Q193" s="322" t="s">
        <v>1160</v>
      </c>
      <c r="T193" s="491">
        <v>-1.1000000000000001</v>
      </c>
      <c r="U193" s="491">
        <v>-0.60000000000000009</v>
      </c>
      <c r="V193" s="491">
        <v>-8.2102000000000563E-3</v>
      </c>
      <c r="W193" s="491">
        <v>0.57794785000000004</v>
      </c>
      <c r="X193" s="491">
        <v>1.16692178</v>
      </c>
      <c r="Y193" s="491">
        <v>1.7558957100000001</v>
      </c>
      <c r="Z193" s="491">
        <v>2.3448696400000002</v>
      </c>
      <c r="AA193" s="491">
        <v>2.9310276800000001</v>
      </c>
      <c r="AB193" s="491">
        <v>3.5200016000000001</v>
      </c>
      <c r="AC193" s="491">
        <v>0</v>
      </c>
    </row>
    <row r="194" spans="2:29" outlineLevel="1">
      <c r="B194" s="345" t="s">
        <v>617</v>
      </c>
      <c r="C194" s="332" t="s">
        <v>1171</v>
      </c>
      <c r="D194" s="332">
        <v>43874</v>
      </c>
      <c r="E194" s="332">
        <v>51186</v>
      </c>
      <c r="F194" s="346" t="s">
        <v>1172</v>
      </c>
      <c r="G194" s="317" t="s">
        <v>139</v>
      </c>
      <c r="H194" s="317" t="s">
        <v>138</v>
      </c>
      <c r="I194" s="353">
        <v>83.25</v>
      </c>
      <c r="J194" s="347" t="s">
        <v>1134</v>
      </c>
      <c r="K194" s="354" t="s">
        <v>936</v>
      </c>
      <c r="L194" s="348">
        <v>1.1509999999999999E-2</v>
      </c>
      <c r="M194" s="348" t="s">
        <v>1135</v>
      </c>
      <c r="N194" s="349" t="s">
        <v>127</v>
      </c>
      <c r="O194" s="350">
        <v>1.03E-2</v>
      </c>
      <c r="P194" s="351" t="s">
        <v>1136</v>
      </c>
      <c r="Q194" s="322" t="s">
        <v>1151</v>
      </c>
      <c r="T194" s="491">
        <v>0</v>
      </c>
      <c r="U194" s="491">
        <v>0</v>
      </c>
      <c r="V194" s="491">
        <v>0</v>
      </c>
      <c r="W194" s="491">
        <v>0</v>
      </c>
      <c r="X194" s="491">
        <v>0</v>
      </c>
      <c r="Y194" s="491">
        <v>0</v>
      </c>
      <c r="Z194" s="491">
        <v>0</v>
      </c>
      <c r="AA194" s="491">
        <v>0</v>
      </c>
      <c r="AB194" s="491">
        <v>0</v>
      </c>
      <c r="AC194" s="491">
        <v>0</v>
      </c>
    </row>
    <row r="195" spans="2:29" outlineLevel="1">
      <c r="B195" s="345" t="s">
        <v>618</v>
      </c>
      <c r="C195" s="332" t="s">
        <v>1173</v>
      </c>
      <c r="D195" s="332">
        <v>43895</v>
      </c>
      <c r="E195" s="332">
        <v>48285</v>
      </c>
      <c r="F195" s="346" t="s">
        <v>1174</v>
      </c>
      <c r="G195" s="317" t="s">
        <v>1021</v>
      </c>
      <c r="H195" s="317" t="s">
        <v>138</v>
      </c>
      <c r="I195" s="353">
        <v>35.956441340000005</v>
      </c>
      <c r="J195" s="347" t="s">
        <v>1134</v>
      </c>
      <c r="K195" s="354" t="s">
        <v>936</v>
      </c>
      <c r="L195" s="348">
        <v>2.0199999999999999E-2</v>
      </c>
      <c r="M195" s="348" t="s">
        <v>1135</v>
      </c>
      <c r="N195" s="349" t="s">
        <v>936</v>
      </c>
      <c r="O195" s="350">
        <v>1.3310000000000001E-2</v>
      </c>
      <c r="P195" s="351" t="s">
        <v>1135</v>
      </c>
      <c r="Q195" s="322" t="s">
        <v>1175</v>
      </c>
      <c r="T195" s="491">
        <v>-0.6</v>
      </c>
      <c r="U195" s="491">
        <v>-0.3</v>
      </c>
      <c r="V195" s="491">
        <v>2.6918290000000011E-2</v>
      </c>
      <c r="W195" s="491">
        <v>0.35340547</v>
      </c>
      <c r="X195" s="491">
        <v>0.68120383000000007</v>
      </c>
      <c r="Y195" s="491">
        <v>1.0090021900000001</v>
      </c>
      <c r="Z195" s="491">
        <v>1.3368005600000001</v>
      </c>
      <c r="AA195" s="491">
        <v>1.6632877500000001</v>
      </c>
      <c r="AB195" s="491">
        <v>1.9910861100000001</v>
      </c>
      <c r="AC195" s="491">
        <v>2.31888447</v>
      </c>
    </row>
    <row r="196" spans="2:29" outlineLevel="1">
      <c r="B196" s="345" t="s">
        <v>619</v>
      </c>
      <c r="C196" s="332" t="s">
        <v>1176</v>
      </c>
      <c r="D196" s="332">
        <v>44029</v>
      </c>
      <c r="E196" s="332">
        <v>49514</v>
      </c>
      <c r="F196" s="346" t="s">
        <v>1177</v>
      </c>
      <c r="G196" s="317" t="s">
        <v>1021</v>
      </c>
      <c r="H196" s="317" t="s">
        <v>138</v>
      </c>
      <c r="I196" s="353">
        <v>30.635000000000002</v>
      </c>
      <c r="J196" s="347" t="s">
        <v>1134</v>
      </c>
      <c r="K196" s="354" t="s">
        <v>936</v>
      </c>
      <c r="L196" s="348">
        <v>2.5000000000000001E-2</v>
      </c>
      <c r="M196" s="348" t="s">
        <v>1135</v>
      </c>
      <c r="N196" s="349" t="s">
        <v>936</v>
      </c>
      <c r="O196" s="350">
        <v>1.418E-2</v>
      </c>
      <c r="P196" s="351" t="s">
        <v>1135</v>
      </c>
      <c r="Q196" s="322" t="s">
        <v>1160</v>
      </c>
      <c r="T196" s="491">
        <v>1.1000000000000001</v>
      </c>
      <c r="U196" s="491">
        <v>1.4000000000000001</v>
      </c>
      <c r="V196" s="491">
        <v>1.7509234500000002</v>
      </c>
      <c r="W196" s="491">
        <v>2.0994666000000004</v>
      </c>
      <c r="X196" s="491">
        <v>2.4491999000000004</v>
      </c>
      <c r="Y196" s="491">
        <v>2.7989332000000005</v>
      </c>
      <c r="Z196" s="491">
        <v>3.1486665000000005</v>
      </c>
      <c r="AA196" s="491">
        <v>3.4972096400000003</v>
      </c>
      <c r="AB196" s="491">
        <v>3.8469429400000004</v>
      </c>
      <c r="AC196" s="491">
        <v>4.1966762400000004</v>
      </c>
    </row>
    <row r="197" spans="2:29" outlineLevel="1">
      <c r="B197" s="345" t="s">
        <v>620</v>
      </c>
      <c r="C197" s="332" t="s">
        <v>1178</v>
      </c>
      <c r="D197" s="332">
        <v>44014</v>
      </c>
      <c r="E197" s="332">
        <v>48402</v>
      </c>
      <c r="F197" s="346" t="s">
        <v>1179</v>
      </c>
      <c r="G197" s="317" t="s">
        <v>139</v>
      </c>
      <c r="H197" s="317" t="s">
        <v>138</v>
      </c>
      <c r="I197" s="353">
        <v>162.30600000000001</v>
      </c>
      <c r="J197" s="347" t="s">
        <v>1134</v>
      </c>
      <c r="K197" s="354" t="s">
        <v>936</v>
      </c>
      <c r="L197" s="348">
        <v>8.2299999999999995E-3</v>
      </c>
      <c r="M197" s="348" t="s">
        <v>1135</v>
      </c>
      <c r="N197" s="349" t="s">
        <v>936</v>
      </c>
      <c r="O197" s="350">
        <v>1.5546000000000001E-2</v>
      </c>
      <c r="P197" s="351" t="s">
        <v>1135</v>
      </c>
      <c r="Q197" s="322" t="s">
        <v>1163</v>
      </c>
      <c r="T197" s="491">
        <v>9.6</v>
      </c>
      <c r="U197" s="491">
        <v>8.4</v>
      </c>
      <c r="V197" s="491">
        <v>7.1284877099999999</v>
      </c>
      <c r="W197" s="491">
        <v>5.8479297500000005</v>
      </c>
      <c r="X197" s="491">
        <v>4.5711167500000007</v>
      </c>
      <c r="Y197" s="491">
        <v>3.2965584300000006</v>
      </c>
      <c r="Z197" s="491">
        <v>2.0215529700000006</v>
      </c>
      <c r="AA197" s="491">
        <v>0.74099501000000068</v>
      </c>
      <c r="AB197" s="491">
        <v>-0.5358179899999993</v>
      </c>
      <c r="AC197" s="491">
        <v>-1.8103763099999994</v>
      </c>
    </row>
    <row r="198" spans="2:29" outlineLevel="1">
      <c r="B198" s="345" t="s">
        <v>621</v>
      </c>
      <c r="C198" s="332" t="s">
        <v>1180</v>
      </c>
      <c r="D198" s="332">
        <v>44014</v>
      </c>
      <c r="E198" s="332">
        <v>48402</v>
      </c>
      <c r="F198" s="346" t="s">
        <v>1181</v>
      </c>
      <c r="G198" s="317" t="s">
        <v>139</v>
      </c>
      <c r="H198" s="317" t="s">
        <v>138</v>
      </c>
      <c r="I198" s="353">
        <v>162.32400000000001</v>
      </c>
      <c r="J198" s="347" t="s">
        <v>1134</v>
      </c>
      <c r="K198" s="354" t="s">
        <v>936</v>
      </c>
      <c r="L198" s="348">
        <v>8.2299999999999995E-3</v>
      </c>
      <c r="M198" s="348" t="s">
        <v>1135</v>
      </c>
      <c r="N198" s="349" t="s">
        <v>936</v>
      </c>
      <c r="O198" s="350">
        <v>1.5551000000000001E-2</v>
      </c>
      <c r="P198" s="351" t="s">
        <v>1135</v>
      </c>
      <c r="Q198" s="322" t="s">
        <v>1166</v>
      </c>
      <c r="T198" s="491">
        <v>9.6</v>
      </c>
      <c r="U198" s="491">
        <v>8.4</v>
      </c>
      <c r="V198" s="491">
        <v>7.1273992600000007</v>
      </c>
      <c r="W198" s="491">
        <v>5.8457468600000011</v>
      </c>
      <c r="X198" s="491">
        <v>4.5678424100000008</v>
      </c>
      <c r="Y198" s="491">
        <v>3.2921926500000005</v>
      </c>
      <c r="Z198" s="491">
        <v>2.0160957500000007</v>
      </c>
      <c r="AA198" s="491">
        <v>0.73444335000000094</v>
      </c>
      <c r="AB198" s="491">
        <v>-0.54346109999999892</v>
      </c>
      <c r="AC198" s="491">
        <v>-1.8191108699999989</v>
      </c>
    </row>
    <row r="199" spans="2:29" outlineLevel="1">
      <c r="B199" s="345" t="s">
        <v>622</v>
      </c>
      <c r="C199" s="332" t="s">
        <v>1182</v>
      </c>
      <c r="D199" s="332">
        <v>44014</v>
      </c>
      <c r="E199" s="332">
        <v>48402</v>
      </c>
      <c r="F199" s="346" t="s">
        <v>1183</v>
      </c>
      <c r="G199" s="317" t="s">
        <v>139</v>
      </c>
      <c r="H199" s="317" t="s">
        <v>138</v>
      </c>
      <c r="I199" s="353">
        <v>135.30000000000001</v>
      </c>
      <c r="J199" s="347" t="s">
        <v>1134</v>
      </c>
      <c r="K199" s="354" t="s">
        <v>936</v>
      </c>
      <c r="L199" s="348">
        <v>8.2299999999999995E-3</v>
      </c>
      <c r="M199" s="348" t="s">
        <v>1135</v>
      </c>
      <c r="N199" s="349" t="s">
        <v>936</v>
      </c>
      <c r="O199" s="350">
        <v>1.5546000000000001E-2</v>
      </c>
      <c r="P199" s="351" t="s">
        <v>1135</v>
      </c>
      <c r="Q199" s="322" t="s">
        <v>1160</v>
      </c>
      <c r="T199" s="491">
        <v>8</v>
      </c>
      <c r="U199" s="491">
        <v>7</v>
      </c>
      <c r="V199" s="491">
        <v>5.9397087700000002</v>
      </c>
      <c r="W199" s="491">
        <v>4.8718756499999998</v>
      </c>
      <c r="X199" s="491">
        <v>3.8071652499999997</v>
      </c>
      <c r="Y199" s="491">
        <v>2.74433375</v>
      </c>
      <c r="Z199" s="491">
        <v>1.6811296299999998</v>
      </c>
      <c r="AA199" s="491">
        <v>0.61329650999999963</v>
      </c>
      <c r="AB199" s="491">
        <v>-0.45141390000000037</v>
      </c>
      <c r="AC199" s="491">
        <v>-1.5142454100000005</v>
      </c>
    </row>
    <row r="200" spans="2:29" outlineLevel="1">
      <c r="B200" s="345" t="s">
        <v>623</v>
      </c>
      <c r="C200" s="332" t="s">
        <v>1184</v>
      </c>
      <c r="D200" s="332">
        <v>44014</v>
      </c>
      <c r="E200" s="332">
        <v>48402</v>
      </c>
      <c r="F200" s="346" t="s">
        <v>1185</v>
      </c>
      <c r="G200" s="317" t="s">
        <v>139</v>
      </c>
      <c r="H200" s="317" t="s">
        <v>138</v>
      </c>
      <c r="I200" s="353">
        <v>216.40799999999999</v>
      </c>
      <c r="J200" s="347" t="s">
        <v>1134</v>
      </c>
      <c r="K200" s="354" t="s">
        <v>936</v>
      </c>
      <c r="L200" s="348">
        <v>8.2299999999999995E-3</v>
      </c>
      <c r="M200" s="348" t="s">
        <v>1135</v>
      </c>
      <c r="N200" s="349" t="s">
        <v>127</v>
      </c>
      <c r="O200" s="350">
        <v>1.129E-2</v>
      </c>
      <c r="P200" s="351" t="s">
        <v>1136</v>
      </c>
      <c r="Q200" s="322" t="s">
        <v>1166</v>
      </c>
      <c r="T200" s="491">
        <v>0</v>
      </c>
      <c r="U200" s="491">
        <v>0</v>
      </c>
      <c r="V200" s="491">
        <v>0</v>
      </c>
      <c r="W200" s="491">
        <v>0</v>
      </c>
      <c r="X200" s="491">
        <v>0</v>
      </c>
      <c r="Y200" s="491">
        <v>0</v>
      </c>
      <c r="Z200" s="491">
        <v>0</v>
      </c>
      <c r="AA200" s="491">
        <v>0</v>
      </c>
      <c r="AB200" s="491">
        <v>0</v>
      </c>
      <c r="AC200" s="491">
        <v>0</v>
      </c>
    </row>
    <row r="201" spans="2:29" outlineLevel="1">
      <c r="B201" s="345" t="s">
        <v>624</v>
      </c>
      <c r="C201" s="332" t="s">
        <v>1186</v>
      </c>
      <c r="D201" s="332">
        <v>44154</v>
      </c>
      <c r="E201" s="332">
        <v>51466</v>
      </c>
      <c r="F201" s="346" t="s">
        <v>1187</v>
      </c>
      <c r="G201" s="317" t="s">
        <v>139</v>
      </c>
      <c r="H201" s="317" t="s">
        <v>138</v>
      </c>
      <c r="I201" s="353">
        <v>179.12</v>
      </c>
      <c r="J201" s="347" t="s">
        <v>1134</v>
      </c>
      <c r="K201" s="354" t="s">
        <v>936</v>
      </c>
      <c r="L201" s="348">
        <v>8.7200000000000003E-3</v>
      </c>
      <c r="M201" s="348" t="s">
        <v>1135</v>
      </c>
      <c r="N201" s="349" t="s">
        <v>127</v>
      </c>
      <c r="O201" s="350">
        <v>0.01</v>
      </c>
      <c r="P201" s="351" t="s">
        <v>1136</v>
      </c>
      <c r="Q201" s="322" t="s">
        <v>1151</v>
      </c>
      <c r="T201" s="491">
        <v>0</v>
      </c>
      <c r="U201" s="491">
        <v>0</v>
      </c>
      <c r="V201" s="491">
        <v>0</v>
      </c>
      <c r="W201" s="491">
        <v>0</v>
      </c>
      <c r="X201" s="491">
        <v>0</v>
      </c>
      <c r="Y201" s="491">
        <v>0</v>
      </c>
      <c r="Z201" s="491">
        <v>0</v>
      </c>
      <c r="AA201" s="491">
        <v>0</v>
      </c>
      <c r="AB201" s="491">
        <v>0</v>
      </c>
      <c r="AC201" s="491">
        <v>0</v>
      </c>
    </row>
    <row r="202" spans="2:29" outlineLevel="1">
      <c r="B202" s="345" t="s">
        <v>625</v>
      </c>
      <c r="C202" s="332" t="s">
        <v>1188</v>
      </c>
      <c r="D202" s="332">
        <v>44167</v>
      </c>
      <c r="E202" s="332">
        <v>51466</v>
      </c>
      <c r="F202" s="346" t="s">
        <v>1189</v>
      </c>
      <c r="G202" s="317" t="s">
        <v>139</v>
      </c>
      <c r="H202" s="317" t="s">
        <v>138</v>
      </c>
      <c r="I202" s="353">
        <v>90.58</v>
      </c>
      <c r="J202" s="347" t="s">
        <v>1134</v>
      </c>
      <c r="K202" s="354" t="s">
        <v>936</v>
      </c>
      <c r="L202" s="348">
        <v>8.7200000000000003E-3</v>
      </c>
      <c r="M202" s="348" t="s">
        <v>1135</v>
      </c>
      <c r="N202" s="349" t="s">
        <v>936</v>
      </c>
      <c r="O202" s="350">
        <v>1.6571499999999999E-2</v>
      </c>
      <c r="P202" s="351" t="s">
        <v>1135</v>
      </c>
      <c r="Q202" s="322" t="s">
        <v>1166</v>
      </c>
      <c r="T202" s="491">
        <v>10.1</v>
      </c>
      <c r="U202" s="491">
        <v>9.2999999999999989</v>
      </c>
      <c r="V202" s="491">
        <v>8.5357860799999994</v>
      </c>
      <c r="W202" s="491">
        <v>7.7668099899999996</v>
      </c>
      <c r="X202" s="491">
        <v>6.9989165699999996</v>
      </c>
      <c r="Y202" s="491">
        <v>6.2327333899999999</v>
      </c>
      <c r="Z202" s="491">
        <v>5.4664199799999995</v>
      </c>
      <c r="AA202" s="491">
        <v>4.6974438899999997</v>
      </c>
      <c r="AB202" s="491">
        <v>3.9295504699999997</v>
      </c>
      <c r="AC202" s="491">
        <v>3.1633672899999996</v>
      </c>
    </row>
    <row r="203" spans="2:29" outlineLevel="1">
      <c r="B203" s="345" t="s">
        <v>626</v>
      </c>
      <c r="C203" s="332" t="s">
        <v>1190</v>
      </c>
      <c r="D203" s="332">
        <v>44167</v>
      </c>
      <c r="E203" s="332">
        <v>51466</v>
      </c>
      <c r="F203" s="346" t="s">
        <v>1191</v>
      </c>
      <c r="G203" s="317" t="s">
        <v>139</v>
      </c>
      <c r="H203" s="317" t="s">
        <v>138</v>
      </c>
      <c r="I203" s="353">
        <v>90.57</v>
      </c>
      <c r="J203" s="347" t="s">
        <v>1134</v>
      </c>
      <c r="K203" s="354" t="s">
        <v>936</v>
      </c>
      <c r="L203" s="348">
        <v>8.7200000000000003E-3</v>
      </c>
      <c r="M203" s="348" t="s">
        <v>1135</v>
      </c>
      <c r="N203" s="349" t="s">
        <v>936</v>
      </c>
      <c r="O203" s="350">
        <v>1.66445E-2</v>
      </c>
      <c r="P203" s="351" t="s">
        <v>1135</v>
      </c>
      <c r="Q203" s="322" t="s">
        <v>1142</v>
      </c>
      <c r="T203" s="491">
        <v>10.199999999999999</v>
      </c>
      <c r="U203" s="491">
        <v>9.3999999999999986</v>
      </c>
      <c r="V203" s="491">
        <v>8.6293578399999991</v>
      </c>
      <c r="W203" s="491">
        <v>7.853918199999999</v>
      </c>
      <c r="X203" s="491">
        <v>7.0795788999999987</v>
      </c>
      <c r="Y203" s="491">
        <v>6.3069498199999989</v>
      </c>
      <c r="Z203" s="491">
        <v>5.5341905099999984</v>
      </c>
      <c r="AA203" s="491">
        <v>4.7587508699999983</v>
      </c>
      <c r="AB203" s="491">
        <v>3.984411569999998</v>
      </c>
      <c r="AC203" s="491">
        <v>3.2117824899999983</v>
      </c>
    </row>
    <row r="204" spans="2:29" outlineLevel="1">
      <c r="B204" s="345" t="s">
        <v>627</v>
      </c>
      <c r="C204" s="332" t="s">
        <v>1192</v>
      </c>
      <c r="D204" s="332">
        <v>44167</v>
      </c>
      <c r="E204" s="332">
        <v>51466</v>
      </c>
      <c r="F204" s="346" t="s">
        <v>1193</v>
      </c>
      <c r="G204" s="317" t="s">
        <v>139</v>
      </c>
      <c r="H204" s="317" t="s">
        <v>138</v>
      </c>
      <c r="I204" s="353">
        <v>90.85</v>
      </c>
      <c r="J204" s="347" t="s">
        <v>1134</v>
      </c>
      <c r="K204" s="354" t="s">
        <v>936</v>
      </c>
      <c r="L204" s="348">
        <v>8.7200000000000003E-3</v>
      </c>
      <c r="M204" s="348" t="s">
        <v>1135</v>
      </c>
      <c r="N204" s="349" t="s">
        <v>936</v>
      </c>
      <c r="O204" s="350">
        <v>1.6681499999999998E-2</v>
      </c>
      <c r="P204" s="351" t="s">
        <v>1135</v>
      </c>
      <c r="Q204" s="322" t="s">
        <v>1160</v>
      </c>
      <c r="T204" s="491">
        <v>10.6</v>
      </c>
      <c r="U204" s="491">
        <v>9.7999999999999989</v>
      </c>
      <c r="V204" s="491">
        <v>9.021357909999999</v>
      </c>
      <c r="W204" s="491">
        <v>8.2378743799999992</v>
      </c>
      <c r="X204" s="491">
        <v>7.4555131699999997</v>
      </c>
      <c r="Y204" s="491">
        <v>6.6748621799999999</v>
      </c>
      <c r="Z204" s="491">
        <v>5.8940809600000001</v>
      </c>
      <c r="AA204" s="491">
        <v>5.1105974300000003</v>
      </c>
      <c r="AB204" s="491">
        <v>4.3282362200000009</v>
      </c>
      <c r="AC204" s="491">
        <v>3.547585230000001</v>
      </c>
    </row>
    <row r="205" spans="2:29" outlineLevel="1">
      <c r="B205" s="345" t="s">
        <v>628</v>
      </c>
      <c r="C205" s="332" t="s">
        <v>1194</v>
      </c>
      <c r="D205" s="332">
        <v>44350</v>
      </c>
      <c r="E205" s="332">
        <v>49836</v>
      </c>
      <c r="F205" s="346" t="s">
        <v>1195</v>
      </c>
      <c r="G205" s="317" t="s">
        <v>1021</v>
      </c>
      <c r="H205" s="317" t="s">
        <v>138</v>
      </c>
      <c r="I205" s="353">
        <v>29.987649999999999</v>
      </c>
      <c r="J205" s="347" t="s">
        <v>1134</v>
      </c>
      <c r="K205" s="354" t="s">
        <v>936</v>
      </c>
      <c r="L205" s="348">
        <v>3.3500000000000002E-2</v>
      </c>
      <c r="M205" s="348" t="s">
        <v>1135</v>
      </c>
      <c r="N205" s="349" t="s">
        <v>936</v>
      </c>
      <c r="O205" s="350">
        <v>2.0990000000000002E-2</v>
      </c>
      <c r="P205" s="351" t="s">
        <v>1135</v>
      </c>
      <c r="Q205" s="322" t="s">
        <v>1160</v>
      </c>
      <c r="T205" s="491">
        <v>0</v>
      </c>
      <c r="U205" s="491">
        <v>0.3</v>
      </c>
      <c r="V205" s="491">
        <v>0.72302811</v>
      </c>
      <c r="W205" s="491">
        <v>1.1426072299999999</v>
      </c>
      <c r="X205" s="491">
        <v>1.5639108399999999</v>
      </c>
      <c r="Y205" s="491">
        <v>1.98521445</v>
      </c>
      <c r="Z205" s="491">
        <v>2.4065180599999998</v>
      </c>
      <c r="AA205" s="491">
        <v>2.8260971799999997</v>
      </c>
      <c r="AB205" s="491">
        <v>3.2474007899999995</v>
      </c>
      <c r="AC205" s="491">
        <v>3.6687043999999993</v>
      </c>
    </row>
    <row r="206" spans="2:29" outlineLevel="1">
      <c r="B206" s="345" t="s">
        <v>629</v>
      </c>
      <c r="C206" s="332" t="s">
        <v>1196</v>
      </c>
      <c r="D206" s="332">
        <v>44321</v>
      </c>
      <c r="E206" s="332">
        <v>48402</v>
      </c>
      <c r="F206" s="346" t="s">
        <v>1197</v>
      </c>
      <c r="G206" s="317" t="s">
        <v>139</v>
      </c>
      <c r="H206" s="317" t="s">
        <v>138</v>
      </c>
      <c r="I206" s="353">
        <v>216.40799999999999</v>
      </c>
      <c r="J206" s="347" t="s">
        <v>1134</v>
      </c>
      <c r="K206" s="354" t="s">
        <v>936</v>
      </c>
      <c r="L206" s="348">
        <v>8.2299999999999995E-3</v>
      </c>
      <c r="M206" s="348" t="s">
        <v>1135</v>
      </c>
      <c r="N206" s="349" t="s">
        <v>127</v>
      </c>
      <c r="O206" s="350">
        <v>1.4009000000000001E-2</v>
      </c>
      <c r="P206" s="351" t="s">
        <v>1198</v>
      </c>
      <c r="Q206" s="322" t="s">
        <v>1166</v>
      </c>
      <c r="T206" s="491">
        <v>43.2</v>
      </c>
      <c r="U206" s="491">
        <v>42</v>
      </c>
      <c r="V206" s="491">
        <v>37.448447110000004</v>
      </c>
      <c r="W206" s="491">
        <v>30.899929070000002</v>
      </c>
      <c r="X206" s="491">
        <v>25.145340130000001</v>
      </c>
      <c r="Y206" s="491">
        <v>19.969501140000002</v>
      </c>
      <c r="Z206" s="491">
        <v>15.133358340000001</v>
      </c>
      <c r="AA206" s="491">
        <v>10.59420815</v>
      </c>
      <c r="AB206" s="491">
        <v>6.2688653900000002</v>
      </c>
      <c r="AC206" s="491">
        <v>1.9283221400000006</v>
      </c>
    </row>
    <row r="207" spans="2:29" outlineLevel="1">
      <c r="B207" s="345" t="s">
        <v>630</v>
      </c>
      <c r="C207" s="332" t="s">
        <v>1199</v>
      </c>
      <c r="D207" s="332">
        <v>44357</v>
      </c>
      <c r="E207" s="332">
        <v>46790</v>
      </c>
      <c r="F207" s="346" t="s">
        <v>1200</v>
      </c>
      <c r="G207" s="317" t="s">
        <v>141</v>
      </c>
      <c r="H207" s="317" t="s">
        <v>138</v>
      </c>
      <c r="I207" s="353">
        <v>24.608398350000002</v>
      </c>
      <c r="J207" s="347" t="s">
        <v>1134</v>
      </c>
      <c r="K207" s="354" t="s">
        <v>936</v>
      </c>
      <c r="L207" s="348">
        <v>3.2500000000000001E-2</v>
      </c>
      <c r="M207" s="348" t="s">
        <v>1135</v>
      </c>
      <c r="N207" s="349" t="s">
        <v>127</v>
      </c>
      <c r="O207" s="350">
        <v>1.141E-2</v>
      </c>
      <c r="P207" s="351" t="s">
        <v>1198</v>
      </c>
      <c r="Q207" s="322" t="s">
        <v>1137</v>
      </c>
      <c r="T207" s="491">
        <v>-4.7</v>
      </c>
      <c r="U207" s="491">
        <v>-3.8000000000000003</v>
      </c>
      <c r="V207" s="491">
        <v>-3.4974819000000004</v>
      </c>
      <c r="W207" s="491">
        <v>-3.4253720700000003</v>
      </c>
      <c r="X207" s="491">
        <v>-3.2571807200000005</v>
      </c>
      <c r="Y207" s="491">
        <v>-3.0236184700000006</v>
      </c>
      <c r="Z207" s="491">
        <v>0</v>
      </c>
      <c r="AA207" s="491">
        <v>0</v>
      </c>
      <c r="AB207" s="491">
        <v>0</v>
      </c>
      <c r="AC207" s="491">
        <v>0</v>
      </c>
    </row>
    <row r="208" spans="2:29" outlineLevel="1">
      <c r="B208" s="345" t="s">
        <v>631</v>
      </c>
      <c r="C208" s="332" t="s">
        <v>1201</v>
      </c>
      <c r="D208" s="332">
        <v>44357</v>
      </c>
      <c r="E208" s="332">
        <v>49221</v>
      </c>
      <c r="F208" s="346" t="s">
        <v>1202</v>
      </c>
      <c r="G208" s="317" t="s">
        <v>1021</v>
      </c>
      <c r="H208" s="317" t="s">
        <v>138</v>
      </c>
      <c r="I208" s="353">
        <v>38.190845109999998</v>
      </c>
      <c r="J208" s="347" t="s">
        <v>1134</v>
      </c>
      <c r="K208" s="354" t="s">
        <v>936</v>
      </c>
      <c r="L208" s="348">
        <v>2.7099999999999999E-2</v>
      </c>
      <c r="M208" s="348" t="s">
        <v>1135</v>
      </c>
      <c r="N208" s="349" t="s">
        <v>127</v>
      </c>
      <c r="O208" s="350">
        <v>1.323E-2</v>
      </c>
      <c r="P208" s="351" t="s">
        <v>1198</v>
      </c>
      <c r="Q208" s="322" t="s">
        <v>1157</v>
      </c>
      <c r="T208" s="491">
        <v>6.4</v>
      </c>
      <c r="U208" s="491">
        <v>6.6000000000000005</v>
      </c>
      <c r="V208" s="491">
        <v>6.5756830100000006</v>
      </c>
      <c r="W208" s="491">
        <v>6.2388751000000005</v>
      </c>
      <c r="X208" s="491">
        <v>6.0461207800000007</v>
      </c>
      <c r="Y208" s="491">
        <v>5.9559619200000009</v>
      </c>
      <c r="Z208" s="491">
        <v>5.9193639900000008</v>
      </c>
      <c r="AA208" s="491">
        <v>5.9405514100000012</v>
      </c>
      <c r="AB208" s="491">
        <v>6.001018300000001</v>
      </c>
      <c r="AC208" s="491">
        <v>6.0531303800000007</v>
      </c>
    </row>
    <row r="209" spans="2:29" outlineLevel="1">
      <c r="B209" s="345" t="s">
        <v>632</v>
      </c>
      <c r="C209" s="332" t="s">
        <v>1203</v>
      </c>
      <c r="D209" s="332">
        <v>44362</v>
      </c>
      <c r="E209" s="332">
        <v>47291</v>
      </c>
      <c r="F209" s="346" t="s">
        <v>1204</v>
      </c>
      <c r="G209" s="317" t="s">
        <v>142</v>
      </c>
      <c r="H209" s="317" t="s">
        <v>138</v>
      </c>
      <c r="I209" s="353">
        <v>174.85574399999999</v>
      </c>
      <c r="J209" s="347" t="s">
        <v>1134</v>
      </c>
      <c r="K209" s="354" t="s">
        <v>936</v>
      </c>
      <c r="L209" s="348">
        <v>2.3009999999999999E-2</v>
      </c>
      <c r="M209" s="348" t="s">
        <v>1135</v>
      </c>
      <c r="N209" s="349" t="s">
        <v>127</v>
      </c>
      <c r="O209" s="350">
        <v>9.5922999999999998E-3</v>
      </c>
      <c r="P209" s="351" t="s">
        <v>1198</v>
      </c>
      <c r="Q209" s="322" t="s">
        <v>1142</v>
      </c>
      <c r="T209" s="491">
        <v>7.5</v>
      </c>
      <c r="U209" s="491">
        <v>9.1999999999999993</v>
      </c>
      <c r="V209" s="491">
        <v>9.1092568499999995</v>
      </c>
      <c r="W209" s="491">
        <v>7.4873042799999991</v>
      </c>
      <c r="X209" s="491">
        <v>6.4720018299999991</v>
      </c>
      <c r="Y209" s="491">
        <v>5.9268627599999988</v>
      </c>
      <c r="Z209" s="491">
        <v>5.656256879999999</v>
      </c>
      <c r="AA209" s="491">
        <v>5.631671879999999</v>
      </c>
      <c r="AB209" s="491">
        <v>0</v>
      </c>
      <c r="AC209" s="491">
        <v>0</v>
      </c>
    </row>
    <row r="210" spans="2:29" outlineLevel="1">
      <c r="B210" s="345" t="s">
        <v>633</v>
      </c>
      <c r="C210" s="332" t="s">
        <v>1205</v>
      </c>
      <c r="D210" s="332">
        <v>44362</v>
      </c>
      <c r="E210" s="332">
        <v>47291</v>
      </c>
      <c r="F210" s="346" t="s">
        <v>1206</v>
      </c>
      <c r="G210" s="317" t="s">
        <v>142</v>
      </c>
      <c r="H210" s="317" t="s">
        <v>138</v>
      </c>
      <c r="I210" s="353">
        <v>145.79809878999998</v>
      </c>
      <c r="J210" s="347" t="s">
        <v>1134</v>
      </c>
      <c r="K210" s="354" t="s">
        <v>936</v>
      </c>
      <c r="L210" s="348">
        <v>2.3009999999999999E-2</v>
      </c>
      <c r="M210" s="348" t="s">
        <v>1135</v>
      </c>
      <c r="N210" s="349" t="s">
        <v>936</v>
      </c>
      <c r="O210" s="350">
        <v>1.5939499999999999E-2</v>
      </c>
      <c r="P210" s="351" t="s">
        <v>1135</v>
      </c>
      <c r="Q210" s="322" t="s">
        <v>1207</v>
      </c>
      <c r="T210" s="491">
        <v>-4.5999999999999996</v>
      </c>
      <c r="U210" s="491">
        <v>-3.6999999999999997</v>
      </c>
      <c r="V210" s="491">
        <v>-2.5196941499999994</v>
      </c>
      <c r="W210" s="491">
        <v>-1.3379966999999995</v>
      </c>
      <c r="X210" s="491">
        <v>-0.15903138999999933</v>
      </c>
      <c r="Y210" s="491">
        <v>1.0246636100000006</v>
      </c>
      <c r="Z210" s="491">
        <v>2.2082385300000005</v>
      </c>
      <c r="AA210" s="491">
        <v>3.3899359900000006</v>
      </c>
      <c r="AB210" s="491">
        <v>0</v>
      </c>
      <c r="AC210" s="491">
        <v>0</v>
      </c>
    </row>
    <row r="211" spans="2:29" outlineLevel="1">
      <c r="B211" s="345" t="s">
        <v>634</v>
      </c>
      <c r="C211" s="332" t="s">
        <v>1208</v>
      </c>
      <c r="D211" s="332">
        <v>44362</v>
      </c>
      <c r="E211" s="332">
        <v>47291</v>
      </c>
      <c r="F211" s="346" t="s">
        <v>1209</v>
      </c>
      <c r="G211" s="317" t="s">
        <v>142</v>
      </c>
      <c r="H211" s="317" t="s">
        <v>138</v>
      </c>
      <c r="I211" s="353">
        <v>175.07002800999999</v>
      </c>
      <c r="J211" s="347" t="s">
        <v>1134</v>
      </c>
      <c r="K211" s="354" t="s">
        <v>936</v>
      </c>
      <c r="L211" s="348">
        <v>2.3009999999999999E-2</v>
      </c>
      <c r="M211" s="348" t="s">
        <v>1135</v>
      </c>
      <c r="N211" s="349" t="s">
        <v>936</v>
      </c>
      <c r="O211" s="350">
        <v>1.6104500000000001E-2</v>
      </c>
      <c r="P211" s="351" t="s">
        <v>1135</v>
      </c>
      <c r="Q211" s="322" t="s">
        <v>1207</v>
      </c>
      <c r="T211" s="491">
        <v>-5.2</v>
      </c>
      <c r="U211" s="491">
        <v>-4.2</v>
      </c>
      <c r="V211" s="491">
        <v>-2.81422565</v>
      </c>
      <c r="W211" s="491">
        <v>-1.4269494700000001</v>
      </c>
      <c r="X211" s="491">
        <v>-4.2867800000000233E-2</v>
      </c>
      <c r="Y211" s="491">
        <v>1.3468894999999999</v>
      </c>
      <c r="Z211" s="491">
        <v>2.73650269</v>
      </c>
      <c r="AA211" s="491">
        <v>4.1237788699999998</v>
      </c>
      <c r="AB211" s="491">
        <v>0</v>
      </c>
      <c r="AC211" s="491">
        <v>0</v>
      </c>
    </row>
    <row r="212" spans="2:29" outlineLevel="1">
      <c r="B212" s="345" t="s">
        <v>635</v>
      </c>
      <c r="C212" s="332" t="s">
        <v>1210</v>
      </c>
      <c r="D212" s="332">
        <v>44392</v>
      </c>
      <c r="E212" s="332">
        <v>51186</v>
      </c>
      <c r="F212" s="346" t="s">
        <v>1211</v>
      </c>
      <c r="G212" s="317" t="s">
        <v>139</v>
      </c>
      <c r="H212" s="317" t="s">
        <v>138</v>
      </c>
      <c r="I212" s="353">
        <v>83.25</v>
      </c>
      <c r="J212" s="347" t="s">
        <v>1134</v>
      </c>
      <c r="K212" s="354" t="s">
        <v>936</v>
      </c>
      <c r="L212" s="348">
        <v>1.1509999999999999E-2</v>
      </c>
      <c r="M212" s="348" t="s">
        <v>1135</v>
      </c>
      <c r="N212" s="349" t="s">
        <v>127</v>
      </c>
      <c r="O212" s="350">
        <v>1.3016E-2</v>
      </c>
      <c r="P212" s="351" t="s">
        <v>1198</v>
      </c>
      <c r="Q212" s="322" t="s">
        <v>1151</v>
      </c>
      <c r="T212" s="491">
        <v>13.5</v>
      </c>
      <c r="U212" s="491">
        <v>13.8</v>
      </c>
      <c r="V212" s="491">
        <v>12.457184980000001</v>
      </c>
      <c r="W212" s="491">
        <v>10.321489790000001</v>
      </c>
      <c r="X212" s="491">
        <v>8.522140180000001</v>
      </c>
      <c r="Y212" s="491">
        <v>6.9468693300000011</v>
      </c>
      <c r="Z212" s="491">
        <v>5.4981296200000012</v>
      </c>
      <c r="AA212" s="491">
        <v>4.1680291800000013</v>
      </c>
      <c r="AB212" s="491">
        <v>2.9186402500000015</v>
      </c>
      <c r="AC212" s="491">
        <v>1.6610701000000017</v>
      </c>
    </row>
    <row r="213" spans="2:29" outlineLevel="1">
      <c r="B213" s="345" t="s">
        <v>636</v>
      </c>
      <c r="C213" s="332" t="s">
        <v>1212</v>
      </c>
      <c r="D213" s="332">
        <v>44392</v>
      </c>
      <c r="E213" s="332">
        <v>51466</v>
      </c>
      <c r="F213" s="346" t="s">
        <v>1213</v>
      </c>
      <c r="G213" s="317" t="s">
        <v>139</v>
      </c>
      <c r="H213" s="317" t="s">
        <v>138</v>
      </c>
      <c r="I213" s="353">
        <v>179.12</v>
      </c>
      <c r="J213" s="347" t="s">
        <v>1134</v>
      </c>
      <c r="K213" s="354" t="s">
        <v>936</v>
      </c>
      <c r="L213" s="348">
        <v>8.7200000000000003E-3</v>
      </c>
      <c r="M213" s="348" t="s">
        <v>1135</v>
      </c>
      <c r="N213" s="349" t="s">
        <v>127</v>
      </c>
      <c r="O213" s="350">
        <v>1.2727E-2</v>
      </c>
      <c r="P213" s="351" t="s">
        <v>1198</v>
      </c>
      <c r="Q213" s="322" t="s">
        <v>1151</v>
      </c>
      <c r="T213" s="491">
        <v>51</v>
      </c>
      <c r="U213" s="491">
        <v>50.6</v>
      </c>
      <c r="V213" s="491">
        <v>47.064439230000005</v>
      </c>
      <c r="W213" s="491">
        <v>42.014610910000002</v>
      </c>
      <c r="X213" s="491">
        <v>37.577466820000005</v>
      </c>
      <c r="Y213" s="491">
        <v>33.618866090000004</v>
      </c>
      <c r="Z213" s="491">
        <v>29.937307210000004</v>
      </c>
      <c r="AA213" s="491">
        <v>26.506098490000003</v>
      </c>
      <c r="AB213" s="491">
        <v>23.251481570000003</v>
      </c>
      <c r="AC213" s="491">
        <v>19.980404250000003</v>
      </c>
    </row>
    <row r="214" spans="2:29" outlineLevel="1">
      <c r="B214" s="345" t="s">
        <v>637</v>
      </c>
      <c r="C214" s="332" t="s">
        <v>1214</v>
      </c>
      <c r="D214" s="332">
        <v>44393</v>
      </c>
      <c r="E214" s="332">
        <v>51466</v>
      </c>
      <c r="F214" s="346" t="s">
        <v>1215</v>
      </c>
      <c r="G214" s="317" t="s">
        <v>139</v>
      </c>
      <c r="H214" s="317" t="s">
        <v>138</v>
      </c>
      <c r="I214" s="353">
        <v>34.192</v>
      </c>
      <c r="J214" s="347" t="s">
        <v>1134</v>
      </c>
      <c r="K214" s="354" t="s">
        <v>936</v>
      </c>
      <c r="L214" s="348">
        <v>8.7200000000000003E-3</v>
      </c>
      <c r="M214" s="348" t="s">
        <v>1135</v>
      </c>
      <c r="N214" s="349" t="s">
        <v>127</v>
      </c>
      <c r="O214" s="350">
        <v>9.9000000000000008E-3</v>
      </c>
      <c r="P214" s="351" t="s">
        <v>1198</v>
      </c>
      <c r="Q214" s="322" t="s">
        <v>1166</v>
      </c>
      <c r="T214" s="491">
        <v>6.6</v>
      </c>
      <c r="U214" s="491">
        <v>6.6</v>
      </c>
      <c r="V214" s="491">
        <v>6.0348489699999996</v>
      </c>
      <c r="W214" s="491">
        <v>5.18123399</v>
      </c>
      <c r="X214" s="491">
        <v>4.4442535300000001</v>
      </c>
      <c r="Y214" s="491">
        <v>3.7986528000000002</v>
      </c>
      <c r="Z214" s="491">
        <v>3.2059338799999999</v>
      </c>
      <c r="AA214" s="491">
        <v>2.6612952399999998</v>
      </c>
      <c r="AB214" s="491">
        <v>2.1500459599999999</v>
      </c>
      <c r="AC214" s="491">
        <v>1.6356857499999999</v>
      </c>
    </row>
    <row r="215" spans="2:29" outlineLevel="1">
      <c r="B215" s="345" t="s">
        <v>638</v>
      </c>
      <c r="C215" s="332" t="s">
        <v>1216</v>
      </c>
      <c r="D215" s="332">
        <v>44439</v>
      </c>
      <c r="E215" s="332">
        <v>48484</v>
      </c>
      <c r="F215" s="346" t="s">
        <v>1217</v>
      </c>
      <c r="G215" s="317" t="s">
        <v>139</v>
      </c>
      <c r="H215" s="317" t="s">
        <v>138</v>
      </c>
      <c r="I215" s="353">
        <v>80.45</v>
      </c>
      <c r="J215" s="347" t="s">
        <v>1134</v>
      </c>
      <c r="K215" s="354" t="s">
        <v>936</v>
      </c>
      <c r="L215" s="348">
        <v>3.3500000000000002E-2</v>
      </c>
      <c r="M215" s="348" t="s">
        <v>1135</v>
      </c>
      <c r="N215" s="349" t="s">
        <v>127</v>
      </c>
      <c r="O215" s="350">
        <v>1.3681E-2</v>
      </c>
      <c r="P215" s="351" t="s">
        <v>1198</v>
      </c>
      <c r="Q215" s="322" t="s">
        <v>1137</v>
      </c>
      <c r="T215" s="491">
        <v>-16</v>
      </c>
      <c r="U215" s="491">
        <v>-15.2</v>
      </c>
      <c r="V215" s="491">
        <v>-14.728503679999999</v>
      </c>
      <c r="W215" s="491">
        <v>-14.94622319</v>
      </c>
      <c r="X215" s="491">
        <v>-14.84983699</v>
      </c>
      <c r="Y215" s="491">
        <v>-14.53231437</v>
      </c>
      <c r="Z215" s="491">
        <v>-14.101619899999999</v>
      </c>
      <c r="AA215" s="491">
        <v>-13.550471929999999</v>
      </c>
      <c r="AB215" s="491">
        <v>-12.922467269999999</v>
      </c>
      <c r="AC215" s="491">
        <v>-12.304381239999998</v>
      </c>
    </row>
    <row r="216" spans="2:29" outlineLevel="1">
      <c r="B216" s="345" t="s">
        <v>639</v>
      </c>
      <c r="C216" s="332" t="s">
        <v>1218</v>
      </c>
      <c r="D216" s="332">
        <v>44439</v>
      </c>
      <c r="E216" s="332">
        <v>49339</v>
      </c>
      <c r="F216" s="346" t="s">
        <v>1219</v>
      </c>
      <c r="G216" s="317" t="s">
        <v>139</v>
      </c>
      <c r="H216" s="317" t="s">
        <v>138</v>
      </c>
      <c r="I216" s="353">
        <v>84</v>
      </c>
      <c r="J216" s="347" t="s">
        <v>1134</v>
      </c>
      <c r="K216" s="354" t="s">
        <v>936</v>
      </c>
      <c r="L216" s="348">
        <v>3.2099999999999997E-2</v>
      </c>
      <c r="M216" s="348" t="s">
        <v>1135</v>
      </c>
      <c r="N216" s="349" t="s">
        <v>127</v>
      </c>
      <c r="O216" s="350">
        <v>1.2888E-2</v>
      </c>
      <c r="P216" s="351" t="s">
        <v>1198</v>
      </c>
      <c r="Q216" s="322" t="s">
        <v>1137</v>
      </c>
      <c r="T216" s="491">
        <v>-11.5</v>
      </c>
      <c r="U216" s="491">
        <v>-11.3</v>
      </c>
      <c r="V216" s="491">
        <v>-10.917183700000001</v>
      </c>
      <c r="W216" s="491">
        <v>-11.318756420000001</v>
      </c>
      <c r="X216" s="491">
        <v>-11.403166270000002</v>
      </c>
      <c r="Y216" s="491">
        <v>-11.258182220000002</v>
      </c>
      <c r="Z216" s="491">
        <v>-10.982636050000002</v>
      </c>
      <c r="AA216" s="491">
        <v>-10.585263820000002</v>
      </c>
      <c r="AB216" s="491">
        <v>-10.115250660000001</v>
      </c>
      <c r="AC216" s="491">
        <v>-9.6474249200000006</v>
      </c>
    </row>
    <row r="217" spans="2:29" outlineLevel="1">
      <c r="B217" s="345" t="s">
        <v>640</v>
      </c>
      <c r="C217" s="332" t="s">
        <v>1220</v>
      </c>
      <c r="D217" s="332">
        <v>44427</v>
      </c>
      <c r="E217" s="332">
        <v>46288</v>
      </c>
      <c r="F217" s="346" t="s">
        <v>1221</v>
      </c>
      <c r="G217" s="317" t="s">
        <v>141</v>
      </c>
      <c r="H217" s="317" t="s">
        <v>138</v>
      </c>
      <c r="I217" s="353">
        <v>20.324525770000001</v>
      </c>
      <c r="J217" s="347" t="s">
        <v>1134</v>
      </c>
      <c r="K217" s="354" t="s">
        <v>936</v>
      </c>
      <c r="L217" s="348">
        <v>3.3000000000000002E-2</v>
      </c>
      <c r="M217" s="348" t="s">
        <v>1135</v>
      </c>
      <c r="N217" s="349" t="s">
        <v>127</v>
      </c>
      <c r="O217" s="350">
        <v>1.406E-2</v>
      </c>
      <c r="P217" s="351" t="s">
        <v>1198</v>
      </c>
      <c r="Q217" s="322" t="s">
        <v>1142</v>
      </c>
      <c r="T217" s="491">
        <v>-4.3</v>
      </c>
      <c r="U217" s="491">
        <v>-4.0999999999999996</v>
      </c>
      <c r="V217" s="491">
        <v>-3.8980000699999997</v>
      </c>
      <c r="W217" s="491">
        <v>-3.8730465799999996</v>
      </c>
      <c r="X217" s="491">
        <v>-3.7667583199999997</v>
      </c>
      <c r="Y217" s="491">
        <v>0</v>
      </c>
      <c r="Z217" s="491">
        <v>0</v>
      </c>
      <c r="AA217" s="491">
        <v>0</v>
      </c>
      <c r="AB217" s="491">
        <v>0</v>
      </c>
      <c r="AC217" s="491">
        <v>0</v>
      </c>
    </row>
    <row r="218" spans="2:29" outlineLevel="1">
      <c r="B218" s="345" t="s">
        <v>641</v>
      </c>
      <c r="C218" s="332" t="s">
        <v>1222</v>
      </c>
      <c r="D218" s="332">
        <v>44427</v>
      </c>
      <c r="E218" s="332">
        <v>46734</v>
      </c>
      <c r="F218" s="346" t="s">
        <v>1223</v>
      </c>
      <c r="G218" s="317" t="s">
        <v>141</v>
      </c>
      <c r="H218" s="317" t="s">
        <v>138</v>
      </c>
      <c r="I218" s="353">
        <v>24.047448559999999</v>
      </c>
      <c r="J218" s="347" t="s">
        <v>1134</v>
      </c>
      <c r="K218" s="354" t="s">
        <v>936</v>
      </c>
      <c r="L218" s="348">
        <v>3.1E-2</v>
      </c>
      <c r="M218" s="348" t="s">
        <v>1135</v>
      </c>
      <c r="N218" s="349" t="s">
        <v>127</v>
      </c>
      <c r="O218" s="350">
        <v>1.2409999999999999E-2</v>
      </c>
      <c r="P218" s="351" t="s">
        <v>1198</v>
      </c>
      <c r="Q218" s="322" t="s">
        <v>1142</v>
      </c>
      <c r="T218" s="491">
        <v>-5</v>
      </c>
      <c r="U218" s="491">
        <v>-4.8</v>
      </c>
      <c r="V218" s="491">
        <v>-4.5585748600000002</v>
      </c>
      <c r="W218" s="491">
        <v>-4.5222826500000002</v>
      </c>
      <c r="X218" s="491">
        <v>-4.4042215900000006</v>
      </c>
      <c r="Y218" s="491">
        <v>-4.2224160800000003</v>
      </c>
      <c r="Z218" s="491">
        <v>0</v>
      </c>
      <c r="AA218" s="491">
        <v>0</v>
      </c>
      <c r="AB218" s="491">
        <v>0</v>
      </c>
      <c r="AC218" s="491">
        <v>0</v>
      </c>
    </row>
    <row r="219" spans="2:29" outlineLevel="1">
      <c r="B219" s="345" t="s">
        <v>642</v>
      </c>
      <c r="C219" s="332" t="s">
        <v>1224</v>
      </c>
      <c r="D219" s="332">
        <v>44427</v>
      </c>
      <c r="E219" s="332">
        <v>45686</v>
      </c>
      <c r="F219" s="346" t="s">
        <v>1225</v>
      </c>
      <c r="G219" s="317" t="s">
        <v>965</v>
      </c>
      <c r="H219" s="317" t="s">
        <v>138</v>
      </c>
      <c r="I219" s="353">
        <v>134.71308099999999</v>
      </c>
      <c r="J219" s="347" t="s">
        <v>1134</v>
      </c>
      <c r="K219" s="354" t="s">
        <v>936</v>
      </c>
      <c r="L219" s="348">
        <v>4.3499999999999997E-2</v>
      </c>
      <c r="M219" s="348" t="s">
        <v>1135</v>
      </c>
      <c r="N219" s="349" t="s">
        <v>127</v>
      </c>
      <c r="O219" s="350">
        <v>1.111E-2</v>
      </c>
      <c r="P219" s="351" t="s">
        <v>1198</v>
      </c>
      <c r="Q219" s="322" t="s">
        <v>1142</v>
      </c>
      <c r="T219" s="491">
        <v>30.2</v>
      </c>
      <c r="U219" s="491">
        <v>30.599999999999998</v>
      </c>
      <c r="V219" s="491">
        <v>31.607942709999996</v>
      </c>
      <c r="W219" s="491">
        <v>0</v>
      </c>
      <c r="X219" s="491">
        <v>0</v>
      </c>
      <c r="Y219" s="491">
        <v>0</v>
      </c>
      <c r="Z219" s="491">
        <v>0</v>
      </c>
      <c r="AA219" s="491">
        <v>0</v>
      </c>
      <c r="AB219" s="491">
        <v>0</v>
      </c>
      <c r="AC219" s="491">
        <v>0</v>
      </c>
    </row>
    <row r="220" spans="2:29" outlineLevel="1">
      <c r="B220" s="345" t="s">
        <v>643</v>
      </c>
      <c r="C220" s="332" t="s">
        <v>1226</v>
      </c>
      <c r="D220" s="332">
        <v>44462</v>
      </c>
      <c r="E220" s="332">
        <v>52870</v>
      </c>
      <c r="F220" s="346" t="s">
        <v>1227</v>
      </c>
      <c r="G220" s="317" t="s">
        <v>138</v>
      </c>
      <c r="H220" s="317" t="s">
        <v>1021</v>
      </c>
      <c r="I220" s="353">
        <v>125</v>
      </c>
      <c r="J220" s="347" t="s">
        <v>1134</v>
      </c>
      <c r="K220" s="354" t="s">
        <v>936</v>
      </c>
      <c r="L220" s="348">
        <v>2.92E-2</v>
      </c>
      <c r="M220" s="348" t="s">
        <v>1135</v>
      </c>
      <c r="N220" s="349" t="s">
        <v>127</v>
      </c>
      <c r="O220" s="350">
        <v>9.9000000000000008E-3</v>
      </c>
      <c r="P220" s="351" t="s">
        <v>1198</v>
      </c>
      <c r="Q220" s="322" t="s">
        <v>1157</v>
      </c>
      <c r="T220" s="491">
        <v>10.6</v>
      </c>
      <c r="U220" s="491">
        <v>11.2</v>
      </c>
      <c r="V220" s="491">
        <v>11.582446449999999</v>
      </c>
      <c r="W220" s="491">
        <v>11.399187619999999</v>
      </c>
      <c r="X220" s="491">
        <v>11.479936669999999</v>
      </c>
      <c r="Y220" s="491">
        <v>11.74097327</v>
      </c>
      <c r="Z220" s="491">
        <v>12.096134709999999</v>
      </c>
      <c r="AA220" s="491">
        <v>12.54635766</v>
      </c>
      <c r="AB220" s="491">
        <v>13.06942506</v>
      </c>
      <c r="AC220" s="491">
        <v>13.57392834</v>
      </c>
    </row>
    <row r="221" spans="2:29" outlineLevel="1">
      <c r="B221" s="345" t="s">
        <v>644</v>
      </c>
      <c r="C221" s="332" t="s">
        <v>1228</v>
      </c>
      <c r="D221" s="332">
        <v>44635</v>
      </c>
      <c r="E221" s="332">
        <v>51466</v>
      </c>
      <c r="F221" s="346" t="s">
        <v>1229</v>
      </c>
      <c r="G221" s="317" t="s">
        <v>138</v>
      </c>
      <c r="H221" s="317" t="s">
        <v>139</v>
      </c>
      <c r="I221" s="353">
        <v>100</v>
      </c>
      <c r="J221" s="347" t="s">
        <v>1134</v>
      </c>
      <c r="K221" s="354" t="s">
        <v>936</v>
      </c>
      <c r="L221" s="348">
        <v>8.7200000000000003E-3</v>
      </c>
      <c r="M221" s="348" t="s">
        <v>1135</v>
      </c>
      <c r="N221" s="349" t="s">
        <v>936</v>
      </c>
      <c r="O221" s="350">
        <v>1.4944000000000001E-2</v>
      </c>
      <c r="P221" s="351" t="s">
        <v>1135</v>
      </c>
      <c r="Q221" s="322" t="s">
        <v>1163</v>
      </c>
      <c r="T221" s="491">
        <v>0.9</v>
      </c>
      <c r="U221" s="491">
        <v>0.9</v>
      </c>
      <c r="V221" s="491">
        <v>0.37564719000000002</v>
      </c>
      <c r="W221" s="491">
        <v>-0.15214987000000002</v>
      </c>
      <c r="X221" s="491">
        <v>-0.67952320999999993</v>
      </c>
      <c r="Y221" s="491">
        <v>-1.2051863199999999</v>
      </c>
      <c r="Z221" s="491">
        <v>-1.73097966</v>
      </c>
      <c r="AA221" s="491">
        <v>-2.2587767200000002</v>
      </c>
      <c r="AB221" s="491">
        <v>-2.7861500600000002</v>
      </c>
      <c r="AC221" s="491">
        <v>-3.3118131700000002</v>
      </c>
    </row>
    <row r="222" spans="2:29" outlineLevel="1">
      <c r="B222" s="345" t="s">
        <v>645</v>
      </c>
      <c r="C222" s="332" t="s">
        <v>1230</v>
      </c>
      <c r="D222" s="332">
        <v>44403</v>
      </c>
      <c r="E222" s="332">
        <v>46288</v>
      </c>
      <c r="F222" s="346" t="s">
        <v>1231</v>
      </c>
      <c r="G222" s="317" t="s">
        <v>141</v>
      </c>
      <c r="H222" s="317" t="s">
        <v>138</v>
      </c>
      <c r="I222" s="353">
        <v>20.324525770000001</v>
      </c>
      <c r="J222" s="347" t="s">
        <v>1134</v>
      </c>
      <c r="K222" s="354" t="s">
        <v>936</v>
      </c>
      <c r="L222" s="348">
        <v>3.3000000000000002E-2</v>
      </c>
      <c r="M222" s="348" t="s">
        <v>1135</v>
      </c>
      <c r="N222" s="349" t="s">
        <v>127</v>
      </c>
      <c r="O222" s="350">
        <v>1.15E-2</v>
      </c>
      <c r="P222" s="351" t="s">
        <v>1136</v>
      </c>
      <c r="Q222" s="322" t="s">
        <v>1142</v>
      </c>
      <c r="T222" s="491">
        <v>0</v>
      </c>
      <c r="U222" s="491">
        <v>0</v>
      </c>
      <c r="V222" s="491">
        <v>0</v>
      </c>
      <c r="W222" s="491">
        <v>0</v>
      </c>
      <c r="X222" s="491">
        <v>0</v>
      </c>
      <c r="Y222" s="491">
        <v>0</v>
      </c>
      <c r="Z222" s="491">
        <v>0</v>
      </c>
      <c r="AA222" s="491">
        <v>0</v>
      </c>
      <c r="AB222" s="491">
        <v>0</v>
      </c>
      <c r="AC222" s="491">
        <v>0</v>
      </c>
    </row>
    <row r="223" spans="2:29" outlineLevel="1">
      <c r="B223" s="345" t="s">
        <v>646</v>
      </c>
      <c r="C223" s="332" t="s">
        <v>1232</v>
      </c>
      <c r="D223" s="332">
        <v>44403</v>
      </c>
      <c r="E223" s="332">
        <v>46734</v>
      </c>
      <c r="F223" s="346" t="s">
        <v>1233</v>
      </c>
      <c r="G223" s="317" t="s">
        <v>141</v>
      </c>
      <c r="H223" s="317" t="s">
        <v>138</v>
      </c>
      <c r="I223" s="353">
        <v>24.047448559999999</v>
      </c>
      <c r="J223" s="347" t="s">
        <v>1134</v>
      </c>
      <c r="K223" s="354" t="s">
        <v>936</v>
      </c>
      <c r="L223" s="348">
        <v>3.1E-2</v>
      </c>
      <c r="M223" s="348" t="s">
        <v>1135</v>
      </c>
      <c r="N223" s="349" t="s">
        <v>127</v>
      </c>
      <c r="O223" s="350">
        <v>9.7999999999999997E-3</v>
      </c>
      <c r="P223" s="351" t="s">
        <v>1136</v>
      </c>
      <c r="Q223" s="322" t="s">
        <v>1142</v>
      </c>
      <c r="T223" s="491">
        <v>0</v>
      </c>
      <c r="U223" s="491">
        <v>0</v>
      </c>
      <c r="V223" s="491">
        <v>0</v>
      </c>
      <c r="W223" s="491">
        <v>0</v>
      </c>
      <c r="X223" s="491">
        <v>0</v>
      </c>
      <c r="Y223" s="491">
        <v>0</v>
      </c>
      <c r="Z223" s="491">
        <v>0</v>
      </c>
      <c r="AA223" s="491">
        <v>0</v>
      </c>
      <c r="AB223" s="491">
        <v>0</v>
      </c>
      <c r="AC223" s="491">
        <v>0</v>
      </c>
    </row>
    <row r="224" spans="2:29" outlineLevel="1">
      <c r="B224" s="345" t="s">
        <v>647</v>
      </c>
      <c r="C224" s="332" t="s">
        <v>1234</v>
      </c>
      <c r="D224" s="332">
        <v>44403</v>
      </c>
      <c r="E224" s="332">
        <v>45686</v>
      </c>
      <c r="F224" s="346" t="s">
        <v>1235</v>
      </c>
      <c r="G224" s="317" t="s">
        <v>965</v>
      </c>
      <c r="H224" s="317" t="s">
        <v>138</v>
      </c>
      <c r="I224" s="353">
        <v>134.71308099999999</v>
      </c>
      <c r="J224" s="347" t="s">
        <v>1134</v>
      </c>
      <c r="K224" s="354" t="s">
        <v>936</v>
      </c>
      <c r="L224" s="348">
        <v>4.3499999999999997E-2</v>
      </c>
      <c r="M224" s="348" t="s">
        <v>1135</v>
      </c>
      <c r="N224" s="349" t="s">
        <v>127</v>
      </c>
      <c r="O224" s="350">
        <v>8.3000000000000001E-3</v>
      </c>
      <c r="P224" s="351" t="s">
        <v>1136</v>
      </c>
      <c r="Q224" s="322" t="s">
        <v>1142</v>
      </c>
      <c r="T224" s="491">
        <v>0</v>
      </c>
      <c r="U224" s="491">
        <v>0</v>
      </c>
      <c r="V224" s="491">
        <v>0</v>
      </c>
      <c r="W224" s="491">
        <v>0</v>
      </c>
      <c r="X224" s="491">
        <v>0</v>
      </c>
      <c r="Y224" s="491">
        <v>0</v>
      </c>
      <c r="Z224" s="491">
        <v>0</v>
      </c>
      <c r="AA224" s="491">
        <v>0</v>
      </c>
      <c r="AB224" s="491">
        <v>0</v>
      </c>
      <c r="AC224" s="491">
        <v>0</v>
      </c>
    </row>
    <row r="225" spans="2:29" outlineLevel="1">
      <c r="B225" s="321" t="s">
        <v>648</v>
      </c>
      <c r="C225" s="1443" t="s">
        <v>649</v>
      </c>
      <c r="D225" s="1444"/>
      <c r="E225" s="1444"/>
      <c r="F225" s="1444"/>
      <c r="G225" s="1444"/>
      <c r="H225" s="1444"/>
      <c r="I225" s="1444"/>
      <c r="J225" s="1444"/>
      <c r="K225" s="1444"/>
      <c r="L225" s="1444"/>
      <c r="M225" s="1444"/>
      <c r="N225" s="1444"/>
      <c r="O225" s="1444"/>
      <c r="P225" s="1444"/>
      <c r="Q225" s="1445"/>
      <c r="T225" s="491">
        <v>0</v>
      </c>
      <c r="U225" s="491">
        <v>0</v>
      </c>
      <c r="V225" s="491">
        <v>0</v>
      </c>
      <c r="W225" s="491">
        <v>0</v>
      </c>
      <c r="X225" s="491">
        <v>0</v>
      </c>
      <c r="Y225" s="491">
        <v>0</v>
      </c>
      <c r="Z225" s="491">
        <v>0</v>
      </c>
      <c r="AA225" s="491">
        <v>0</v>
      </c>
      <c r="AB225" s="491">
        <v>0</v>
      </c>
      <c r="AC225" s="491">
        <v>0</v>
      </c>
    </row>
    <row r="226" spans="2:29">
      <c r="F226" s="169"/>
      <c r="G226" s="169"/>
      <c r="H226" s="169"/>
      <c r="I226" s="169"/>
      <c r="S226" s="985" t="s">
        <v>650</v>
      </c>
      <c r="T226" s="487">
        <f t="shared" ref="T226:AC226" si="7">SUM(T180:T225)</f>
        <v>196.49999999999997</v>
      </c>
      <c r="U226" s="488">
        <f t="shared" si="7"/>
        <v>193.09999999999997</v>
      </c>
      <c r="V226" s="488">
        <f t="shared" si="7"/>
        <v>179.10906523000003</v>
      </c>
      <c r="W226" s="488">
        <f t="shared" si="7"/>
        <v>134.68713115000003</v>
      </c>
      <c r="X226" s="488">
        <f t="shared" si="7"/>
        <v>119.28381177000003</v>
      </c>
      <c r="Y226" s="488">
        <f t="shared" si="7"/>
        <v>110.27787579000002</v>
      </c>
      <c r="Z226" s="488">
        <f t="shared" si="7"/>
        <v>104.17244033999999</v>
      </c>
      <c r="AA226" s="489">
        <f t="shared" si="7"/>
        <v>93.408262799999989</v>
      </c>
      <c r="AB226" s="490">
        <f t="shared" si="7"/>
        <v>67.743643490000011</v>
      </c>
      <c r="AC226" s="488">
        <f t="shared" si="7"/>
        <v>51.054521530000002</v>
      </c>
    </row>
    <row r="227" spans="2:29" outlineLevel="1">
      <c r="B227" s="325" t="s">
        <v>468</v>
      </c>
      <c r="C227" s="1439" t="s">
        <v>1236</v>
      </c>
      <c r="D227" s="1440"/>
      <c r="E227" s="1440"/>
      <c r="F227" s="1440"/>
      <c r="G227" s="1440"/>
      <c r="H227" s="1440"/>
      <c r="I227" s="1440"/>
      <c r="J227" s="1440"/>
      <c r="K227" s="1440"/>
      <c r="L227" s="1440"/>
      <c r="M227" s="1440"/>
      <c r="N227" s="1440"/>
      <c r="O227" s="1440"/>
      <c r="P227" s="1440"/>
      <c r="Q227" s="1441"/>
      <c r="S227" s="153"/>
      <c r="AB227" s="283"/>
    </row>
    <row r="228" spans="2:29" outlineLevel="1">
      <c r="B228" s="324" t="s">
        <v>603</v>
      </c>
      <c r="C228" s="1422" t="s">
        <v>1237</v>
      </c>
      <c r="D228" s="1423"/>
      <c r="E228" s="1423"/>
      <c r="F228" s="1423"/>
      <c r="G228" s="1423"/>
      <c r="H228" s="1423"/>
      <c r="I228" s="1423"/>
      <c r="J228" s="1423"/>
      <c r="K228" s="1423"/>
      <c r="L228" s="1423"/>
      <c r="M228" s="1423"/>
      <c r="N228" s="1423"/>
      <c r="O228" s="1423"/>
      <c r="P228" s="1423"/>
      <c r="Q228" s="1424"/>
      <c r="S228" s="172"/>
      <c r="AB228" s="283"/>
    </row>
    <row r="229" spans="2:29" outlineLevel="1">
      <c r="B229" s="324" t="s">
        <v>604</v>
      </c>
      <c r="C229" s="1422" t="s">
        <v>1238</v>
      </c>
      <c r="D229" s="1423"/>
      <c r="E229" s="1423"/>
      <c r="F229" s="1423"/>
      <c r="G229" s="1423"/>
      <c r="H229" s="1423"/>
      <c r="I229" s="1423"/>
      <c r="J229" s="1423"/>
      <c r="K229" s="1423"/>
      <c r="L229" s="1423"/>
      <c r="M229" s="1423"/>
      <c r="N229" s="1423"/>
      <c r="O229" s="1423"/>
      <c r="P229" s="1423"/>
      <c r="Q229" s="1424"/>
      <c r="S229" s="172"/>
      <c r="AB229" s="283"/>
    </row>
    <row r="230" spans="2:29" outlineLevel="1">
      <c r="B230" s="324" t="s">
        <v>605</v>
      </c>
      <c r="C230" s="1422" t="s">
        <v>1239</v>
      </c>
      <c r="D230" s="1423"/>
      <c r="E230" s="1423"/>
      <c r="F230" s="1423"/>
      <c r="G230" s="1423"/>
      <c r="H230" s="1423"/>
      <c r="I230" s="1423"/>
      <c r="J230" s="1423"/>
      <c r="K230" s="1423"/>
      <c r="L230" s="1423"/>
      <c r="M230" s="1423"/>
      <c r="N230" s="1423"/>
      <c r="O230" s="1423"/>
      <c r="P230" s="1423"/>
      <c r="Q230" s="1424"/>
      <c r="S230" s="172"/>
      <c r="AB230" s="283"/>
    </row>
    <row r="231" spans="2:29" outlineLevel="1">
      <c r="B231" s="324" t="s">
        <v>606</v>
      </c>
      <c r="C231" s="1422" t="s">
        <v>1240</v>
      </c>
      <c r="D231" s="1423"/>
      <c r="E231" s="1423"/>
      <c r="F231" s="1423"/>
      <c r="G231" s="1423"/>
      <c r="H231" s="1423"/>
      <c r="I231" s="1423"/>
      <c r="J231" s="1423"/>
      <c r="K231" s="1423"/>
      <c r="L231" s="1423"/>
      <c r="M231" s="1423"/>
      <c r="N231" s="1423"/>
      <c r="O231" s="1423"/>
      <c r="P231" s="1423"/>
      <c r="Q231" s="1424"/>
      <c r="S231" s="172"/>
      <c r="AB231" s="283"/>
    </row>
    <row r="232" spans="2:29" outlineLevel="1">
      <c r="B232" s="324" t="s">
        <v>607</v>
      </c>
      <c r="C232" s="1422" t="s">
        <v>1241</v>
      </c>
      <c r="D232" s="1423"/>
      <c r="E232" s="1423"/>
      <c r="F232" s="1423"/>
      <c r="G232" s="1423"/>
      <c r="H232" s="1423"/>
      <c r="I232" s="1423"/>
      <c r="J232" s="1423"/>
      <c r="K232" s="1423"/>
      <c r="L232" s="1423"/>
      <c r="M232" s="1423"/>
      <c r="N232" s="1423"/>
      <c r="O232" s="1423"/>
      <c r="P232" s="1423"/>
      <c r="Q232" s="1424"/>
      <c r="S232" s="172"/>
      <c r="AB232" s="283"/>
    </row>
    <row r="233" spans="2:29" outlineLevel="1">
      <c r="B233" s="324" t="s">
        <v>608</v>
      </c>
      <c r="C233" s="1422" t="s">
        <v>1242</v>
      </c>
      <c r="D233" s="1423"/>
      <c r="E233" s="1423"/>
      <c r="F233" s="1423"/>
      <c r="G233" s="1423"/>
      <c r="H233" s="1423"/>
      <c r="I233" s="1423"/>
      <c r="J233" s="1423"/>
      <c r="K233" s="1423"/>
      <c r="L233" s="1423"/>
      <c r="M233" s="1423"/>
      <c r="N233" s="1423"/>
      <c r="O233" s="1423"/>
      <c r="P233" s="1423"/>
      <c r="Q233" s="1424"/>
      <c r="S233" s="172"/>
      <c r="AB233" s="283"/>
    </row>
    <row r="234" spans="2:29" outlineLevel="1">
      <c r="B234" s="324" t="s">
        <v>611</v>
      </c>
      <c r="C234" s="1422" t="s">
        <v>1243</v>
      </c>
      <c r="D234" s="1423"/>
      <c r="E234" s="1423"/>
      <c r="F234" s="1423"/>
      <c r="G234" s="1423"/>
      <c r="H234" s="1423"/>
      <c r="I234" s="1423"/>
      <c r="J234" s="1423"/>
      <c r="K234" s="1423"/>
      <c r="L234" s="1423"/>
      <c r="M234" s="1423"/>
      <c r="N234" s="1423"/>
      <c r="O234" s="1423"/>
      <c r="P234" s="1423"/>
      <c r="Q234" s="1424"/>
      <c r="S234" s="172"/>
      <c r="AB234" s="283"/>
    </row>
    <row r="235" spans="2:29" outlineLevel="1">
      <c r="B235" s="324" t="s">
        <v>617</v>
      </c>
      <c r="C235" s="1422" t="s">
        <v>1244</v>
      </c>
      <c r="D235" s="1423"/>
      <c r="E235" s="1423"/>
      <c r="F235" s="1423"/>
      <c r="G235" s="1423"/>
      <c r="H235" s="1423"/>
      <c r="I235" s="1423"/>
      <c r="J235" s="1423"/>
      <c r="K235" s="1423"/>
      <c r="L235" s="1423"/>
      <c r="M235" s="1423"/>
      <c r="N235" s="1423"/>
      <c r="O235" s="1423"/>
      <c r="P235" s="1423"/>
      <c r="Q235" s="1424"/>
      <c r="S235" s="172"/>
      <c r="AB235" s="283"/>
    </row>
    <row r="236" spans="2:29" outlineLevel="1">
      <c r="B236" s="324" t="s">
        <v>623</v>
      </c>
      <c r="C236" s="1422" t="s">
        <v>1245</v>
      </c>
      <c r="D236" s="1423"/>
      <c r="E236" s="1423"/>
      <c r="F236" s="1423"/>
      <c r="G236" s="1423"/>
      <c r="H236" s="1423"/>
      <c r="I236" s="1423"/>
      <c r="J236" s="1423"/>
      <c r="K236" s="1423"/>
      <c r="L236" s="1423"/>
      <c r="M236" s="1423"/>
      <c r="N236" s="1423"/>
      <c r="O236" s="1423"/>
      <c r="P236" s="1423"/>
      <c r="Q236" s="1424"/>
      <c r="S236" s="172"/>
      <c r="AB236" s="283"/>
    </row>
    <row r="237" spans="2:29" outlineLevel="1">
      <c r="B237" s="324" t="s">
        <v>645</v>
      </c>
      <c r="C237" s="1220" t="s">
        <v>1246</v>
      </c>
      <c r="D237" s="1221"/>
      <c r="E237" s="1221"/>
      <c r="F237" s="1221"/>
      <c r="G237" s="1221"/>
      <c r="H237" s="1221"/>
      <c r="I237" s="1221"/>
      <c r="J237" s="1221"/>
      <c r="K237" s="1221"/>
      <c r="L237" s="1221"/>
      <c r="M237" s="1221"/>
      <c r="N237" s="1221"/>
      <c r="O237" s="1221"/>
      <c r="P237" s="1221"/>
      <c r="Q237" s="1221"/>
      <c r="S237" s="172"/>
      <c r="AB237" s="283"/>
    </row>
    <row r="238" spans="2:29" outlineLevel="1">
      <c r="B238" s="324" t="s">
        <v>646</v>
      </c>
      <c r="C238" s="1220" t="s">
        <v>1247</v>
      </c>
      <c r="D238" s="1221"/>
      <c r="E238" s="1221"/>
      <c r="F238" s="1221"/>
      <c r="G238" s="1221"/>
      <c r="H238" s="1221"/>
      <c r="I238" s="1221"/>
      <c r="J238" s="1221"/>
      <c r="K238" s="1221"/>
      <c r="L238" s="1221"/>
      <c r="M238" s="1221"/>
      <c r="N238" s="1221"/>
      <c r="O238" s="1221"/>
      <c r="P238" s="1221"/>
      <c r="Q238" s="1221"/>
      <c r="S238" s="172"/>
      <c r="AB238" s="283"/>
    </row>
    <row r="239" spans="2:29" outlineLevel="1">
      <c r="B239" s="324" t="s">
        <v>647</v>
      </c>
      <c r="C239" s="1220" t="s">
        <v>1248</v>
      </c>
      <c r="D239" s="1221"/>
      <c r="E239" s="1221"/>
      <c r="F239" s="1221"/>
      <c r="G239" s="1221"/>
      <c r="H239" s="1221"/>
      <c r="I239" s="1221"/>
      <c r="J239" s="1221"/>
      <c r="K239" s="1221"/>
      <c r="L239" s="1221"/>
      <c r="M239" s="1221"/>
      <c r="N239" s="1221"/>
      <c r="O239" s="1221"/>
      <c r="P239" s="1221"/>
      <c r="Q239" s="1221"/>
      <c r="S239" s="172"/>
      <c r="AB239" s="283"/>
    </row>
    <row r="240" spans="2:29" outlineLevel="1">
      <c r="B240" s="324">
        <v>0</v>
      </c>
      <c r="C240" s="1220"/>
      <c r="D240" s="1221"/>
      <c r="E240" s="1221"/>
      <c r="F240" s="1221"/>
      <c r="G240" s="1221"/>
      <c r="H240" s="1221"/>
      <c r="I240" s="1221"/>
      <c r="J240" s="1221"/>
      <c r="K240" s="1221"/>
      <c r="L240" s="1221"/>
      <c r="M240" s="1221"/>
      <c r="N240" s="1221"/>
      <c r="O240" s="1221"/>
      <c r="P240" s="1221"/>
      <c r="Q240" s="1221"/>
      <c r="S240" s="172"/>
      <c r="AB240" s="283"/>
    </row>
    <row r="241" spans="2:29" outlineLevel="1">
      <c r="B241" s="321" t="s">
        <v>648</v>
      </c>
      <c r="C241" s="1443" t="s">
        <v>649</v>
      </c>
      <c r="D241" s="1444"/>
      <c r="E241" s="1444"/>
      <c r="F241" s="1444"/>
      <c r="G241" s="1444"/>
      <c r="H241" s="1444"/>
      <c r="I241" s="1444"/>
      <c r="J241" s="1444"/>
      <c r="K241" s="1444"/>
      <c r="L241" s="1444"/>
      <c r="M241" s="1444"/>
      <c r="N241" s="1444"/>
      <c r="O241" s="1444"/>
      <c r="P241" s="1444"/>
      <c r="Q241" s="1445"/>
      <c r="S241" s="172"/>
      <c r="AB241" s="283"/>
    </row>
    <row r="242" spans="2:29">
      <c r="AB242" s="283"/>
    </row>
    <row r="243" spans="2:29">
      <c r="F243" s="169"/>
      <c r="G243" s="169"/>
      <c r="H243" s="169"/>
      <c r="I243" s="169"/>
      <c r="AB243" s="283"/>
    </row>
    <row r="244" spans="2:29">
      <c r="B244" s="312" t="s">
        <v>651</v>
      </c>
      <c r="C244" s="312"/>
      <c r="D244" s="171" t="s">
        <v>885</v>
      </c>
      <c r="E244" s="150"/>
      <c r="AB244" s="283"/>
    </row>
    <row r="245" spans="2:29" outlineLevel="1">
      <c r="J245" s="1407"/>
      <c r="K245" s="1407"/>
      <c r="L245" s="1407"/>
      <c r="M245" s="1407"/>
      <c r="N245" s="1407"/>
      <c r="O245" s="1407"/>
      <c r="P245" s="1407"/>
      <c r="Q245" s="1407"/>
      <c r="R245" s="1408"/>
      <c r="S245" s="722"/>
      <c r="AB245" s="283"/>
    </row>
    <row r="246" spans="2:29" ht="32.25" customHeight="1" outlineLevel="1">
      <c r="B246" s="779"/>
      <c r="C246" s="789" t="s">
        <v>1100</v>
      </c>
      <c r="D246" s="777" t="s">
        <v>599</v>
      </c>
      <c r="E246" s="778" t="s">
        <v>600</v>
      </c>
      <c r="F246" s="1460" t="s">
        <v>601</v>
      </c>
      <c r="G246" s="778" t="s">
        <v>653</v>
      </c>
      <c r="H246" s="777" t="s">
        <v>654</v>
      </c>
      <c r="I246" s="778" t="s">
        <v>655</v>
      </c>
      <c r="J246" s="789" t="s">
        <v>656</v>
      </c>
      <c r="K246" s="778" t="s">
        <v>653</v>
      </c>
      <c r="L246" s="777" t="s">
        <v>653</v>
      </c>
      <c r="M246" s="778" t="s">
        <v>653</v>
      </c>
      <c r="N246" s="777" t="s">
        <v>1127</v>
      </c>
      <c r="O246" s="778" t="s">
        <v>1127</v>
      </c>
      <c r="P246" s="777" t="s">
        <v>1127</v>
      </c>
      <c r="Q246" s="1186" t="s">
        <v>1121</v>
      </c>
      <c r="R246" s="722"/>
      <c r="S246" s="722"/>
      <c r="AB246" s="283"/>
    </row>
    <row r="247" spans="2:29" s="532" customFormat="1" ht="53.25" customHeight="1" outlineLevel="1">
      <c r="B247" s="526" t="s">
        <v>468</v>
      </c>
      <c r="C247" s="517"/>
      <c r="D247" s="517" t="s">
        <v>602</v>
      </c>
      <c r="E247" s="984" t="s">
        <v>602</v>
      </c>
      <c r="F247" s="1461"/>
      <c r="G247" s="993" t="s">
        <v>137</v>
      </c>
      <c r="H247" s="518" t="s">
        <v>137</v>
      </c>
      <c r="I247" s="994" t="s">
        <v>469</v>
      </c>
      <c r="J247" s="518" t="s">
        <v>657</v>
      </c>
      <c r="K247" s="993" t="s">
        <v>1128</v>
      </c>
      <c r="L247" s="519" t="s">
        <v>1129</v>
      </c>
      <c r="M247" s="995" t="s">
        <v>1130</v>
      </c>
      <c r="N247" s="518" t="s">
        <v>1128</v>
      </c>
      <c r="O247" s="995" t="s">
        <v>1131</v>
      </c>
      <c r="P247" s="519" t="s">
        <v>1130</v>
      </c>
      <c r="Q247" s="520" t="s">
        <v>153</v>
      </c>
      <c r="R247" s="527"/>
      <c r="S247" s="527"/>
      <c r="T247" s="528" t="s">
        <v>469</v>
      </c>
      <c r="U247" s="529" t="s">
        <v>469</v>
      </c>
      <c r="V247" s="529" t="s">
        <v>469</v>
      </c>
      <c r="W247" s="529" t="s">
        <v>469</v>
      </c>
      <c r="X247" s="529" t="s">
        <v>469</v>
      </c>
      <c r="Y247" s="529" t="s">
        <v>469</v>
      </c>
      <c r="Z247" s="529" t="s">
        <v>469</v>
      </c>
      <c r="AA247" s="530" t="s">
        <v>469</v>
      </c>
      <c r="AB247" s="531" t="s">
        <v>469</v>
      </c>
      <c r="AC247" s="529" t="s">
        <v>469</v>
      </c>
    </row>
    <row r="248" spans="2:29" outlineLevel="1">
      <c r="B248" s="324" t="s">
        <v>658</v>
      </c>
      <c r="C248" s="332" t="s">
        <v>1249</v>
      </c>
      <c r="D248" s="332">
        <v>41171</v>
      </c>
      <c r="E248" s="332">
        <v>48484</v>
      </c>
      <c r="F248" s="332" t="s">
        <v>1250</v>
      </c>
      <c r="G248" s="332" t="s">
        <v>138</v>
      </c>
      <c r="H248" s="332" t="s">
        <v>138</v>
      </c>
      <c r="I248" s="1228">
        <v>45.5</v>
      </c>
      <c r="J248" s="332" t="s">
        <v>1134</v>
      </c>
      <c r="K248" s="332" t="s">
        <v>127</v>
      </c>
      <c r="L248" s="1228">
        <v>1.0999999999999999E-2</v>
      </c>
      <c r="M248" s="332" t="s">
        <v>1136</v>
      </c>
      <c r="N248" s="332" t="s">
        <v>936</v>
      </c>
      <c r="O248" s="1229">
        <v>3.8774999999999997E-2</v>
      </c>
      <c r="P248" s="332" t="s">
        <v>1135</v>
      </c>
      <c r="Q248" s="332" t="s">
        <v>155</v>
      </c>
      <c r="R248" s="722"/>
      <c r="S248" s="722"/>
      <c r="T248" s="496">
        <v>0</v>
      </c>
      <c r="U248" s="496">
        <v>0</v>
      </c>
      <c r="V248" s="496">
        <v>0</v>
      </c>
      <c r="W248" s="496">
        <v>0</v>
      </c>
      <c r="X248" s="496">
        <v>0</v>
      </c>
      <c r="Y248" s="496">
        <v>0</v>
      </c>
      <c r="Z248" s="496">
        <v>0</v>
      </c>
      <c r="AA248" s="496">
        <v>0</v>
      </c>
      <c r="AB248" s="496">
        <v>0</v>
      </c>
      <c r="AC248" s="496">
        <v>0</v>
      </c>
    </row>
    <row r="249" spans="2:29" outlineLevel="1">
      <c r="B249" s="324" t="s">
        <v>659</v>
      </c>
      <c r="C249" s="332" t="s">
        <v>1251</v>
      </c>
      <c r="D249" s="332">
        <v>38566</v>
      </c>
      <c r="E249" s="332">
        <v>45324</v>
      </c>
      <c r="F249" s="332" t="s">
        <v>1252</v>
      </c>
      <c r="G249" s="332" t="s">
        <v>138</v>
      </c>
      <c r="H249" s="332" t="s">
        <v>138</v>
      </c>
      <c r="I249" s="1228">
        <v>20</v>
      </c>
      <c r="J249" s="332" t="s">
        <v>1134</v>
      </c>
      <c r="K249" s="332" t="s">
        <v>936</v>
      </c>
      <c r="L249" s="1228">
        <v>5.8749999999999997E-2</v>
      </c>
      <c r="M249" s="332" t="s">
        <v>1135</v>
      </c>
      <c r="N249" s="332" t="s">
        <v>127</v>
      </c>
      <c r="O249" s="1229">
        <v>1.1724999999999999E-2</v>
      </c>
      <c r="P249" s="332" t="s">
        <v>1136</v>
      </c>
      <c r="Q249" s="332" t="s">
        <v>155</v>
      </c>
      <c r="R249" s="722"/>
      <c r="S249" s="722"/>
      <c r="T249" s="496">
        <v>0</v>
      </c>
      <c r="U249" s="496">
        <v>0</v>
      </c>
      <c r="V249" s="496">
        <v>0</v>
      </c>
      <c r="W249" s="496">
        <v>0</v>
      </c>
      <c r="X249" s="496">
        <v>0</v>
      </c>
      <c r="Y249" s="496">
        <v>0</v>
      </c>
      <c r="Z249" s="496">
        <v>0</v>
      </c>
      <c r="AA249" s="496">
        <v>0</v>
      </c>
      <c r="AB249" s="496">
        <v>0</v>
      </c>
      <c r="AC249" s="496">
        <v>0</v>
      </c>
    </row>
    <row r="250" spans="2:29" outlineLevel="1">
      <c r="B250" s="324" t="s">
        <v>660</v>
      </c>
      <c r="C250" s="332" t="s">
        <v>1253</v>
      </c>
      <c r="D250" s="332">
        <v>40309</v>
      </c>
      <c r="E250" s="332">
        <v>45324</v>
      </c>
      <c r="F250" s="332" t="s">
        <v>1254</v>
      </c>
      <c r="G250" s="332" t="s">
        <v>138</v>
      </c>
      <c r="H250" s="332" t="s">
        <v>138</v>
      </c>
      <c r="I250" s="1228">
        <v>75</v>
      </c>
      <c r="J250" s="332" t="s">
        <v>1134</v>
      </c>
      <c r="K250" s="332" t="s">
        <v>936</v>
      </c>
      <c r="L250" s="1228">
        <v>5.8749999999999997E-2</v>
      </c>
      <c r="M250" s="332" t="s">
        <v>1135</v>
      </c>
      <c r="N250" s="332" t="s">
        <v>127</v>
      </c>
      <c r="O250" s="1229">
        <v>1.7235E-2</v>
      </c>
      <c r="P250" s="332" t="s">
        <v>1136</v>
      </c>
      <c r="Q250" s="332" t="s">
        <v>1255</v>
      </c>
      <c r="R250" s="722"/>
      <c r="S250" s="722"/>
      <c r="T250" s="496">
        <v>0</v>
      </c>
      <c r="U250" s="496">
        <v>0</v>
      </c>
      <c r="V250" s="496">
        <v>0</v>
      </c>
      <c r="W250" s="496">
        <v>0</v>
      </c>
      <c r="X250" s="496">
        <v>0</v>
      </c>
      <c r="Y250" s="496">
        <v>0</v>
      </c>
      <c r="Z250" s="496">
        <v>0</v>
      </c>
      <c r="AA250" s="496">
        <v>0</v>
      </c>
      <c r="AB250" s="496">
        <v>0</v>
      </c>
      <c r="AC250" s="496">
        <v>0</v>
      </c>
    </row>
    <row r="251" spans="2:29" outlineLevel="1">
      <c r="B251" s="324" t="s">
        <v>661</v>
      </c>
      <c r="C251" s="332" t="s">
        <v>1256</v>
      </c>
      <c r="D251" s="332">
        <v>40401</v>
      </c>
      <c r="E251" s="332">
        <v>45324</v>
      </c>
      <c r="F251" s="332" t="s">
        <v>1257</v>
      </c>
      <c r="G251" s="332" t="s">
        <v>138</v>
      </c>
      <c r="H251" s="332" t="s">
        <v>138</v>
      </c>
      <c r="I251" s="1228">
        <v>149.5</v>
      </c>
      <c r="J251" s="332" t="s">
        <v>1258</v>
      </c>
      <c r="K251" s="332" t="s">
        <v>127</v>
      </c>
      <c r="L251" s="1228">
        <v>1.7575E-2</v>
      </c>
      <c r="M251" s="332" t="s">
        <v>1136</v>
      </c>
      <c r="N251" s="332" t="s">
        <v>936</v>
      </c>
      <c r="O251" s="1229">
        <v>5.8749999999999997E-2</v>
      </c>
      <c r="P251" s="332" t="s">
        <v>1135</v>
      </c>
      <c r="Q251" s="332" t="s">
        <v>1163</v>
      </c>
      <c r="R251" s="722"/>
      <c r="S251" s="722"/>
      <c r="T251" s="496">
        <v>0</v>
      </c>
      <c r="U251" s="496">
        <v>0</v>
      </c>
      <c r="V251" s="496">
        <v>0</v>
      </c>
      <c r="W251" s="496">
        <v>0</v>
      </c>
      <c r="X251" s="496">
        <v>0</v>
      </c>
      <c r="Y251" s="496">
        <v>0</v>
      </c>
      <c r="Z251" s="496">
        <v>0</v>
      </c>
      <c r="AA251" s="496">
        <v>0</v>
      </c>
      <c r="AB251" s="496">
        <v>0</v>
      </c>
      <c r="AC251" s="496">
        <v>0</v>
      </c>
    </row>
    <row r="252" spans="2:29" outlineLevel="1">
      <c r="B252" s="324" t="s">
        <v>662</v>
      </c>
      <c r="C252" s="332" t="s">
        <v>1259</v>
      </c>
      <c r="D252" s="332">
        <v>40504</v>
      </c>
      <c r="E252" s="332">
        <v>45324</v>
      </c>
      <c r="F252" s="332" t="s">
        <v>1260</v>
      </c>
      <c r="G252" s="332" t="s">
        <v>138</v>
      </c>
      <c r="H252" s="332" t="s">
        <v>138</v>
      </c>
      <c r="I252" s="1228">
        <v>28</v>
      </c>
      <c r="J252" s="332" t="s">
        <v>1134</v>
      </c>
      <c r="K252" s="332" t="s">
        <v>936</v>
      </c>
      <c r="L252" s="1228">
        <v>5.8749999999999997E-2</v>
      </c>
      <c r="M252" s="332" t="s">
        <v>1135</v>
      </c>
      <c r="N252" s="332" t="s">
        <v>127</v>
      </c>
      <c r="O252" s="1229">
        <v>2.4400000000000002E-2</v>
      </c>
      <c r="P252" s="332" t="s">
        <v>1136</v>
      </c>
      <c r="Q252" s="332" t="s">
        <v>155</v>
      </c>
      <c r="R252" s="722"/>
      <c r="S252" s="722"/>
      <c r="T252" s="496">
        <v>0</v>
      </c>
      <c r="U252" s="496">
        <v>0</v>
      </c>
      <c r="V252" s="496">
        <v>0</v>
      </c>
      <c r="W252" s="496">
        <v>0</v>
      </c>
      <c r="X252" s="496">
        <v>0</v>
      </c>
      <c r="Y252" s="496">
        <v>0</v>
      </c>
      <c r="Z252" s="496">
        <v>0</v>
      </c>
      <c r="AA252" s="496">
        <v>0</v>
      </c>
      <c r="AB252" s="496">
        <v>0</v>
      </c>
      <c r="AC252" s="496">
        <v>0</v>
      </c>
    </row>
    <row r="253" spans="2:29" outlineLevel="1">
      <c r="B253" s="324" t="s">
        <v>663</v>
      </c>
      <c r="C253" s="332" t="s">
        <v>1261</v>
      </c>
      <c r="D253" s="332">
        <v>37747</v>
      </c>
      <c r="E253" s="332">
        <v>46961</v>
      </c>
      <c r="F253" s="332" t="s">
        <v>1262</v>
      </c>
      <c r="G253" s="332" t="s">
        <v>138</v>
      </c>
      <c r="H253" s="332" t="s">
        <v>138</v>
      </c>
      <c r="I253" s="1228">
        <v>15</v>
      </c>
      <c r="J253" s="332" t="s">
        <v>1134</v>
      </c>
      <c r="K253" s="332" t="s">
        <v>936</v>
      </c>
      <c r="L253" s="1228">
        <v>6.5000000000000002E-2</v>
      </c>
      <c r="M253" s="332" t="s">
        <v>1135</v>
      </c>
      <c r="N253" s="332" t="s">
        <v>127</v>
      </c>
      <c r="O253" s="1229">
        <v>1.5720000000000001E-2</v>
      </c>
      <c r="P253" s="332" t="s">
        <v>1136</v>
      </c>
      <c r="Q253" s="332" t="s">
        <v>155</v>
      </c>
      <c r="R253" s="722"/>
      <c r="S253" s="722"/>
      <c r="T253" s="496">
        <v>0</v>
      </c>
      <c r="U253" s="496">
        <v>0</v>
      </c>
      <c r="V253" s="496">
        <v>0</v>
      </c>
      <c r="W253" s="496">
        <v>0</v>
      </c>
      <c r="X253" s="496">
        <v>0</v>
      </c>
      <c r="Y253" s="496">
        <v>0</v>
      </c>
      <c r="Z253" s="496">
        <v>0</v>
      </c>
      <c r="AA253" s="496">
        <v>0</v>
      </c>
      <c r="AB253" s="496">
        <v>0</v>
      </c>
      <c r="AC253" s="496">
        <v>0</v>
      </c>
    </row>
    <row r="254" spans="2:29" outlineLevel="1">
      <c r="B254" s="324" t="s">
        <v>664</v>
      </c>
      <c r="C254" s="332" t="s">
        <v>1263</v>
      </c>
      <c r="D254" s="332">
        <v>38622</v>
      </c>
      <c r="E254" s="332">
        <v>46961</v>
      </c>
      <c r="F254" s="332" t="s">
        <v>1264</v>
      </c>
      <c r="G254" s="332" t="s">
        <v>138</v>
      </c>
      <c r="H254" s="332" t="s">
        <v>138</v>
      </c>
      <c r="I254" s="1228">
        <v>14</v>
      </c>
      <c r="J254" s="332" t="s">
        <v>1134</v>
      </c>
      <c r="K254" s="332" t="s">
        <v>936</v>
      </c>
      <c r="L254" s="1228">
        <v>6.5000000000000002E-2</v>
      </c>
      <c r="M254" s="332" t="s">
        <v>1135</v>
      </c>
      <c r="N254" s="332" t="s">
        <v>127</v>
      </c>
      <c r="O254" s="1229">
        <v>1.9025E-2</v>
      </c>
      <c r="P254" s="332" t="s">
        <v>1136</v>
      </c>
      <c r="Q254" s="332" t="s">
        <v>155</v>
      </c>
      <c r="R254" s="722"/>
      <c r="S254" s="722"/>
      <c r="T254" s="496">
        <v>0</v>
      </c>
      <c r="U254" s="496">
        <v>0</v>
      </c>
      <c r="V254" s="496">
        <v>0</v>
      </c>
      <c r="W254" s="496">
        <v>0</v>
      </c>
      <c r="X254" s="496">
        <v>0</v>
      </c>
      <c r="Y254" s="496">
        <v>0</v>
      </c>
      <c r="Z254" s="496">
        <v>0</v>
      </c>
      <c r="AA254" s="496">
        <v>0</v>
      </c>
      <c r="AB254" s="496">
        <v>0</v>
      </c>
      <c r="AC254" s="496">
        <v>0</v>
      </c>
    </row>
    <row r="255" spans="2:29" outlineLevel="1">
      <c r="B255" s="324" t="s">
        <v>665</v>
      </c>
      <c r="C255" s="332" t="s">
        <v>1265</v>
      </c>
      <c r="D255" s="332">
        <v>40309</v>
      </c>
      <c r="E255" s="332">
        <v>46961</v>
      </c>
      <c r="F255" s="332" t="s">
        <v>1266</v>
      </c>
      <c r="G255" s="332" t="s">
        <v>138</v>
      </c>
      <c r="H255" s="332" t="s">
        <v>138</v>
      </c>
      <c r="I255" s="1228">
        <v>65</v>
      </c>
      <c r="J255" s="332" t="s">
        <v>1134</v>
      </c>
      <c r="K255" s="332" t="s">
        <v>936</v>
      </c>
      <c r="L255" s="1228">
        <v>6.5000000000000002E-2</v>
      </c>
      <c r="M255" s="332" t="s">
        <v>1135</v>
      </c>
      <c r="N255" s="332" t="s">
        <v>127</v>
      </c>
      <c r="O255" s="1229">
        <v>2.2575000000000001E-2</v>
      </c>
      <c r="P255" s="332" t="s">
        <v>1136</v>
      </c>
      <c r="Q255" s="332" t="s">
        <v>1255</v>
      </c>
      <c r="R255" s="722"/>
      <c r="S255" s="722"/>
      <c r="T255" s="496">
        <v>0</v>
      </c>
      <c r="U255" s="496">
        <v>0</v>
      </c>
      <c r="V255" s="496">
        <v>0</v>
      </c>
      <c r="W255" s="496">
        <v>0</v>
      </c>
      <c r="X255" s="496">
        <v>0</v>
      </c>
      <c r="Y255" s="496">
        <v>0</v>
      </c>
      <c r="Z255" s="496">
        <v>0</v>
      </c>
      <c r="AA255" s="496">
        <v>0</v>
      </c>
      <c r="AB255" s="496">
        <v>0</v>
      </c>
      <c r="AC255" s="496">
        <v>0</v>
      </c>
    </row>
    <row r="256" spans="2:29" outlineLevel="1">
      <c r="B256" s="324" t="s">
        <v>666</v>
      </c>
      <c r="C256" s="332" t="s">
        <v>1267</v>
      </c>
      <c r="D256" s="332">
        <v>40309</v>
      </c>
      <c r="E256" s="332">
        <v>46961</v>
      </c>
      <c r="F256" s="332" t="s">
        <v>1268</v>
      </c>
      <c r="G256" s="332" t="s">
        <v>138</v>
      </c>
      <c r="H256" s="332" t="s">
        <v>138</v>
      </c>
      <c r="I256" s="1228">
        <v>60</v>
      </c>
      <c r="J256" s="332" t="s">
        <v>1134</v>
      </c>
      <c r="K256" s="332" t="s">
        <v>936</v>
      </c>
      <c r="L256" s="1228">
        <v>6.5000000000000002E-2</v>
      </c>
      <c r="M256" s="332" t="s">
        <v>1135</v>
      </c>
      <c r="N256" s="332" t="s">
        <v>127</v>
      </c>
      <c r="O256" s="1229">
        <v>2.2759999999999999E-2</v>
      </c>
      <c r="P256" s="332" t="s">
        <v>1136</v>
      </c>
      <c r="Q256" s="332" t="s">
        <v>155</v>
      </c>
      <c r="R256" s="722"/>
      <c r="S256" s="722"/>
      <c r="T256" s="496">
        <v>0</v>
      </c>
      <c r="U256" s="496">
        <v>0</v>
      </c>
      <c r="V256" s="496">
        <v>0</v>
      </c>
      <c r="W256" s="496">
        <v>0</v>
      </c>
      <c r="X256" s="496">
        <v>0</v>
      </c>
      <c r="Y256" s="496">
        <v>0</v>
      </c>
      <c r="Z256" s="496">
        <v>0</v>
      </c>
      <c r="AA256" s="496">
        <v>0</v>
      </c>
      <c r="AB256" s="496">
        <v>0</v>
      </c>
      <c r="AC256" s="496">
        <v>0</v>
      </c>
    </row>
    <row r="257" spans="2:29" outlineLevel="1">
      <c r="B257" s="324" t="s">
        <v>667</v>
      </c>
      <c r="C257" s="332" t="s">
        <v>1269</v>
      </c>
      <c r="D257" s="332">
        <v>40401</v>
      </c>
      <c r="E257" s="332">
        <v>46961</v>
      </c>
      <c r="F257" s="332" t="s">
        <v>1270</v>
      </c>
      <c r="G257" s="332" t="s">
        <v>138</v>
      </c>
      <c r="H257" s="332" t="s">
        <v>138</v>
      </c>
      <c r="I257" s="1228">
        <v>125</v>
      </c>
      <c r="J257" s="332" t="s">
        <v>1258</v>
      </c>
      <c r="K257" s="332" t="s">
        <v>127</v>
      </c>
      <c r="L257" s="1228">
        <v>2.2575000000000001E-2</v>
      </c>
      <c r="M257" s="332" t="s">
        <v>1136</v>
      </c>
      <c r="N257" s="332" t="s">
        <v>936</v>
      </c>
      <c r="O257" s="1229">
        <v>6.5000000000000002E-2</v>
      </c>
      <c r="P257" s="332" t="s">
        <v>1135</v>
      </c>
      <c r="Q257" s="332" t="s">
        <v>1163</v>
      </c>
      <c r="R257" s="722"/>
      <c r="S257" s="722"/>
      <c r="T257" s="496">
        <v>0</v>
      </c>
      <c r="U257" s="496">
        <v>0</v>
      </c>
      <c r="V257" s="496">
        <v>0</v>
      </c>
      <c r="W257" s="496">
        <v>0</v>
      </c>
      <c r="X257" s="496">
        <v>0</v>
      </c>
      <c r="Y257" s="496">
        <v>0</v>
      </c>
      <c r="Z257" s="496">
        <v>0</v>
      </c>
      <c r="AA257" s="496">
        <v>0</v>
      </c>
      <c r="AB257" s="496">
        <v>0</v>
      </c>
      <c r="AC257" s="496">
        <v>0</v>
      </c>
    </row>
    <row r="258" spans="2:29" outlineLevel="1">
      <c r="B258" s="324" t="s">
        <v>668</v>
      </c>
      <c r="C258" s="332" t="s">
        <v>1271</v>
      </c>
      <c r="D258" s="332">
        <v>38401</v>
      </c>
      <c r="E258" s="332">
        <v>49369</v>
      </c>
      <c r="F258" s="332" t="s">
        <v>1272</v>
      </c>
      <c r="G258" s="332" t="s">
        <v>138</v>
      </c>
      <c r="H258" s="332" t="s">
        <v>138</v>
      </c>
      <c r="I258" s="1228">
        <v>40</v>
      </c>
      <c r="J258" s="332" t="s">
        <v>1134</v>
      </c>
      <c r="K258" s="332" t="s">
        <v>936</v>
      </c>
      <c r="L258" s="1228">
        <v>0.05</v>
      </c>
      <c r="M258" s="332" t="s">
        <v>1135</v>
      </c>
      <c r="N258" s="332" t="s">
        <v>127</v>
      </c>
      <c r="O258" s="1229">
        <v>2.2750000000000001E-3</v>
      </c>
      <c r="P258" s="332" t="s">
        <v>1136</v>
      </c>
      <c r="Q258" s="332" t="s">
        <v>155</v>
      </c>
      <c r="R258" s="722"/>
      <c r="S258" s="722"/>
      <c r="T258" s="496">
        <v>0</v>
      </c>
      <c r="U258" s="496">
        <v>0</v>
      </c>
      <c r="V258" s="496">
        <v>0</v>
      </c>
      <c r="W258" s="496">
        <v>0</v>
      </c>
      <c r="X258" s="496">
        <v>0</v>
      </c>
      <c r="Y258" s="496">
        <v>0</v>
      </c>
      <c r="Z258" s="496">
        <v>0</v>
      </c>
      <c r="AA258" s="496">
        <v>0</v>
      </c>
      <c r="AB258" s="496">
        <v>0</v>
      </c>
      <c r="AC258" s="496">
        <v>0</v>
      </c>
    </row>
    <row r="259" spans="2:29" outlineLevel="1">
      <c r="B259" s="324" t="s">
        <v>669</v>
      </c>
      <c r="C259" s="332" t="s">
        <v>1273</v>
      </c>
      <c r="D259" s="332">
        <v>40311</v>
      </c>
      <c r="E259" s="332">
        <v>49369</v>
      </c>
      <c r="F259" s="332" t="s">
        <v>1274</v>
      </c>
      <c r="G259" s="332" t="s">
        <v>138</v>
      </c>
      <c r="H259" s="332" t="s">
        <v>138</v>
      </c>
      <c r="I259" s="1228">
        <v>20</v>
      </c>
      <c r="J259" s="332" t="s">
        <v>1134</v>
      </c>
      <c r="K259" s="332" t="s">
        <v>936</v>
      </c>
      <c r="L259" s="1228">
        <v>0.05</v>
      </c>
      <c r="M259" s="332" t="s">
        <v>1135</v>
      </c>
      <c r="N259" s="332" t="s">
        <v>127</v>
      </c>
      <c r="O259" s="1229">
        <v>8.6999999999999994E-3</v>
      </c>
      <c r="P259" s="332" t="s">
        <v>1136</v>
      </c>
      <c r="Q259" s="332" t="s">
        <v>1255</v>
      </c>
      <c r="R259" s="722"/>
      <c r="S259" s="722"/>
      <c r="T259" s="496">
        <v>0</v>
      </c>
      <c r="U259" s="496">
        <v>0</v>
      </c>
      <c r="V259" s="496">
        <v>0</v>
      </c>
      <c r="W259" s="496">
        <v>0</v>
      </c>
      <c r="X259" s="496">
        <v>0</v>
      </c>
      <c r="Y259" s="496">
        <v>0</v>
      </c>
      <c r="Z259" s="496">
        <v>0</v>
      </c>
      <c r="AA259" s="496">
        <v>0</v>
      </c>
      <c r="AB259" s="496">
        <v>0</v>
      </c>
      <c r="AC259" s="496">
        <v>0</v>
      </c>
    </row>
    <row r="260" spans="2:29" outlineLevel="1">
      <c r="B260" s="324" t="s">
        <v>670</v>
      </c>
      <c r="C260" s="332" t="s">
        <v>1275</v>
      </c>
      <c r="D260" s="332">
        <v>40676</v>
      </c>
      <c r="E260" s="332">
        <v>49369</v>
      </c>
      <c r="F260" s="332" t="s">
        <v>1276</v>
      </c>
      <c r="G260" s="332" t="s">
        <v>138</v>
      </c>
      <c r="H260" s="332" t="s">
        <v>138</v>
      </c>
      <c r="I260" s="1228">
        <v>40</v>
      </c>
      <c r="J260" s="332" t="s">
        <v>1258</v>
      </c>
      <c r="K260" s="332" t="s">
        <v>127</v>
      </c>
      <c r="L260" s="1228">
        <v>9.3900000000000008E-3</v>
      </c>
      <c r="M260" s="332" t="s">
        <v>1136</v>
      </c>
      <c r="N260" s="332" t="s">
        <v>936</v>
      </c>
      <c r="O260" s="1229">
        <v>0.05</v>
      </c>
      <c r="P260" s="332" t="s">
        <v>1135</v>
      </c>
      <c r="Q260" s="332" t="s">
        <v>155</v>
      </c>
      <c r="R260" s="722"/>
      <c r="S260" s="722"/>
      <c r="T260" s="496">
        <v>0</v>
      </c>
      <c r="U260" s="496">
        <v>0</v>
      </c>
      <c r="V260" s="496">
        <v>0</v>
      </c>
      <c r="W260" s="496">
        <v>0</v>
      </c>
      <c r="X260" s="496">
        <v>0</v>
      </c>
      <c r="Y260" s="496">
        <v>0</v>
      </c>
      <c r="Z260" s="496">
        <v>0</v>
      </c>
      <c r="AA260" s="496">
        <v>0</v>
      </c>
      <c r="AB260" s="496">
        <v>0</v>
      </c>
      <c r="AC260" s="496">
        <v>0</v>
      </c>
    </row>
    <row r="261" spans="2:29" outlineLevel="1">
      <c r="B261" s="324" t="s">
        <v>671</v>
      </c>
      <c r="C261" s="332" t="s">
        <v>1277</v>
      </c>
      <c r="D261" s="332">
        <v>39832</v>
      </c>
      <c r="E261" s="332">
        <v>47861</v>
      </c>
      <c r="F261" s="332" t="s">
        <v>1278</v>
      </c>
      <c r="G261" s="332" t="s">
        <v>138</v>
      </c>
      <c r="H261" s="332" t="s">
        <v>138</v>
      </c>
      <c r="I261" s="1228">
        <v>40</v>
      </c>
      <c r="J261" s="332" t="s">
        <v>1134</v>
      </c>
      <c r="K261" s="332" t="s">
        <v>936</v>
      </c>
      <c r="L261" s="1228">
        <v>7.3749999999999996E-2</v>
      </c>
      <c r="M261" s="332" t="s">
        <v>1135</v>
      </c>
      <c r="N261" s="332" t="s">
        <v>127</v>
      </c>
      <c r="O261" s="1229">
        <v>3.3724999999999998E-2</v>
      </c>
      <c r="P261" s="332" t="s">
        <v>1136</v>
      </c>
      <c r="Q261" s="332" t="s">
        <v>1279</v>
      </c>
      <c r="R261" s="722"/>
      <c r="S261" s="722"/>
      <c r="T261" s="496">
        <v>0</v>
      </c>
      <c r="U261" s="496">
        <v>0</v>
      </c>
      <c r="V261" s="496">
        <v>0</v>
      </c>
      <c r="W261" s="496">
        <v>0</v>
      </c>
      <c r="X261" s="496">
        <v>0</v>
      </c>
      <c r="Y261" s="496">
        <v>0</v>
      </c>
      <c r="Z261" s="496">
        <v>0</v>
      </c>
      <c r="AA261" s="496">
        <v>0</v>
      </c>
      <c r="AB261" s="496">
        <v>0</v>
      </c>
      <c r="AC261" s="496">
        <v>0</v>
      </c>
    </row>
    <row r="262" spans="2:29" outlineLevel="1">
      <c r="B262" s="324" t="s">
        <v>672</v>
      </c>
      <c r="C262" s="332" t="s">
        <v>1280</v>
      </c>
      <c r="D262" s="332">
        <v>39834</v>
      </c>
      <c r="E262" s="332">
        <v>47861</v>
      </c>
      <c r="F262" s="332" t="s">
        <v>1281</v>
      </c>
      <c r="G262" s="332" t="s">
        <v>138</v>
      </c>
      <c r="H262" s="332" t="s">
        <v>138</v>
      </c>
      <c r="I262" s="1228">
        <v>24</v>
      </c>
      <c r="J262" s="332" t="s">
        <v>1134</v>
      </c>
      <c r="K262" s="332" t="s">
        <v>936</v>
      </c>
      <c r="L262" s="1228">
        <v>7.3749999999999996E-2</v>
      </c>
      <c r="M262" s="332" t="s">
        <v>1135</v>
      </c>
      <c r="N262" s="332" t="s">
        <v>127</v>
      </c>
      <c r="O262" s="1229">
        <v>3.4775E-2</v>
      </c>
      <c r="P262" s="332" t="s">
        <v>1136</v>
      </c>
      <c r="Q262" s="332" t="s">
        <v>1282</v>
      </c>
      <c r="R262" s="722"/>
      <c r="S262" s="722"/>
      <c r="T262" s="496">
        <v>0</v>
      </c>
      <c r="U262" s="496">
        <v>0</v>
      </c>
      <c r="V262" s="496">
        <v>0</v>
      </c>
      <c r="W262" s="496">
        <v>0</v>
      </c>
      <c r="X262" s="496">
        <v>0</v>
      </c>
      <c r="Y262" s="496">
        <v>0</v>
      </c>
      <c r="Z262" s="496">
        <v>0</v>
      </c>
      <c r="AA262" s="496">
        <v>0</v>
      </c>
      <c r="AB262" s="496">
        <v>0</v>
      </c>
      <c r="AC262" s="496">
        <v>0</v>
      </c>
    </row>
    <row r="263" spans="2:29" outlineLevel="1">
      <c r="B263" s="324" t="s">
        <v>673</v>
      </c>
      <c r="C263" s="332" t="s">
        <v>1283</v>
      </c>
      <c r="D263" s="332">
        <v>40298</v>
      </c>
      <c r="E263" s="332">
        <v>47861</v>
      </c>
      <c r="F263" s="332" t="s">
        <v>1284</v>
      </c>
      <c r="G263" s="332" t="s">
        <v>138</v>
      </c>
      <c r="H263" s="332" t="s">
        <v>138</v>
      </c>
      <c r="I263" s="1228">
        <v>38</v>
      </c>
      <c r="J263" s="332" t="s">
        <v>1134</v>
      </c>
      <c r="K263" s="332" t="s">
        <v>936</v>
      </c>
      <c r="L263" s="1228">
        <v>7.3749999999999996E-2</v>
      </c>
      <c r="M263" s="332" t="s">
        <v>1135</v>
      </c>
      <c r="N263" s="332" t="s">
        <v>127</v>
      </c>
      <c r="O263" s="1229">
        <v>3.1125E-2</v>
      </c>
      <c r="P263" s="332" t="s">
        <v>1136</v>
      </c>
      <c r="Q263" s="332" t="s">
        <v>1255</v>
      </c>
      <c r="R263" s="722"/>
      <c r="S263" s="722"/>
      <c r="T263" s="496">
        <v>0</v>
      </c>
      <c r="U263" s="496">
        <v>0</v>
      </c>
      <c r="V263" s="496">
        <v>0</v>
      </c>
      <c r="W263" s="496">
        <v>0</v>
      </c>
      <c r="X263" s="496">
        <v>0</v>
      </c>
      <c r="Y263" s="496">
        <v>0</v>
      </c>
      <c r="Z263" s="496">
        <v>0</v>
      </c>
      <c r="AA263" s="496">
        <v>0</v>
      </c>
      <c r="AB263" s="496">
        <v>0</v>
      </c>
      <c r="AC263" s="496">
        <v>0</v>
      </c>
    </row>
    <row r="264" spans="2:29" outlineLevel="1">
      <c r="B264" s="324" t="s">
        <v>674</v>
      </c>
      <c r="C264" s="332" t="s">
        <v>1285</v>
      </c>
      <c r="D264" s="332">
        <v>40302</v>
      </c>
      <c r="E264" s="332">
        <v>47861</v>
      </c>
      <c r="F264" s="332" t="s">
        <v>1286</v>
      </c>
      <c r="G264" s="332" t="s">
        <v>138</v>
      </c>
      <c r="H264" s="332" t="s">
        <v>138</v>
      </c>
      <c r="I264" s="1228">
        <v>38</v>
      </c>
      <c r="J264" s="332" t="s">
        <v>1134</v>
      </c>
      <c r="K264" s="332" t="s">
        <v>936</v>
      </c>
      <c r="L264" s="1228">
        <v>7.3749999999999996E-2</v>
      </c>
      <c r="M264" s="332" t="s">
        <v>1135</v>
      </c>
      <c r="N264" s="332" t="s">
        <v>127</v>
      </c>
      <c r="O264" s="1229">
        <v>3.1510000000000003E-2</v>
      </c>
      <c r="P264" s="332" t="s">
        <v>1136</v>
      </c>
      <c r="Q264" s="332" t="s">
        <v>1282</v>
      </c>
      <c r="R264" s="722"/>
      <c r="S264" s="722"/>
      <c r="T264" s="496">
        <v>0</v>
      </c>
      <c r="U264" s="496">
        <v>0</v>
      </c>
      <c r="V264" s="496">
        <v>0</v>
      </c>
      <c r="W264" s="496">
        <v>0</v>
      </c>
      <c r="X264" s="496">
        <v>0</v>
      </c>
      <c r="Y264" s="496">
        <v>0</v>
      </c>
      <c r="Z264" s="496">
        <v>0</v>
      </c>
      <c r="AA264" s="496">
        <v>0</v>
      </c>
      <c r="AB264" s="496">
        <v>0</v>
      </c>
      <c r="AC264" s="496">
        <v>0</v>
      </c>
    </row>
    <row r="265" spans="2:29" outlineLevel="1">
      <c r="B265" s="324" t="s">
        <v>675</v>
      </c>
      <c r="C265" s="332" t="s">
        <v>1287</v>
      </c>
      <c r="D265" s="332">
        <v>40311</v>
      </c>
      <c r="E265" s="332">
        <v>47861</v>
      </c>
      <c r="F265" s="332" t="s">
        <v>1288</v>
      </c>
      <c r="G265" s="332" t="s">
        <v>138</v>
      </c>
      <c r="H265" s="332" t="s">
        <v>138</v>
      </c>
      <c r="I265" s="1228">
        <v>48</v>
      </c>
      <c r="J265" s="332" t="s">
        <v>1134</v>
      </c>
      <c r="K265" s="332" t="s">
        <v>936</v>
      </c>
      <c r="L265" s="1228">
        <v>7.3749999999999996E-2</v>
      </c>
      <c r="M265" s="332" t="s">
        <v>1135</v>
      </c>
      <c r="N265" s="332" t="s">
        <v>127</v>
      </c>
      <c r="O265" s="1229">
        <v>3.1949999999999999E-2</v>
      </c>
      <c r="P265" s="332" t="s">
        <v>1136</v>
      </c>
      <c r="Q265" s="332" t="s">
        <v>155</v>
      </c>
      <c r="R265" s="722"/>
      <c r="S265" s="722"/>
      <c r="T265" s="496">
        <v>0</v>
      </c>
      <c r="U265" s="496">
        <v>0</v>
      </c>
      <c r="V265" s="496">
        <v>0</v>
      </c>
      <c r="W265" s="496">
        <v>0</v>
      </c>
      <c r="X265" s="496">
        <v>0</v>
      </c>
      <c r="Y265" s="496">
        <v>0</v>
      </c>
      <c r="Z265" s="496">
        <v>0</v>
      </c>
      <c r="AA265" s="496">
        <v>0</v>
      </c>
      <c r="AB265" s="496">
        <v>0</v>
      </c>
      <c r="AC265" s="496">
        <v>0</v>
      </c>
    </row>
    <row r="266" spans="2:29" outlineLevel="1">
      <c r="B266" s="324" t="s">
        <v>676</v>
      </c>
      <c r="C266" s="332" t="s">
        <v>1289</v>
      </c>
      <c r="D266" s="332">
        <v>40400</v>
      </c>
      <c r="E266" s="332">
        <v>47861</v>
      </c>
      <c r="F266" s="332" t="s">
        <v>1290</v>
      </c>
      <c r="G266" s="332" t="s">
        <v>138</v>
      </c>
      <c r="H266" s="332" t="s">
        <v>138</v>
      </c>
      <c r="I266" s="1228">
        <v>50</v>
      </c>
      <c r="J266" s="332" t="s">
        <v>1258</v>
      </c>
      <c r="K266" s="332" t="s">
        <v>127</v>
      </c>
      <c r="L266" s="1228">
        <v>3.0980000000000001E-2</v>
      </c>
      <c r="M266" s="332" t="s">
        <v>1136</v>
      </c>
      <c r="N266" s="332" t="s">
        <v>936</v>
      </c>
      <c r="O266" s="1229">
        <v>7.3749999999999996E-2</v>
      </c>
      <c r="P266" s="332" t="s">
        <v>1135</v>
      </c>
      <c r="Q266" s="332" t="s">
        <v>1166</v>
      </c>
      <c r="R266" s="722"/>
      <c r="S266" s="722"/>
      <c r="T266" s="496">
        <v>0</v>
      </c>
      <c r="U266" s="496">
        <v>0</v>
      </c>
      <c r="V266" s="496">
        <v>0</v>
      </c>
      <c r="W266" s="496">
        <v>0</v>
      </c>
      <c r="X266" s="496">
        <v>0</v>
      </c>
      <c r="Y266" s="496">
        <v>0</v>
      </c>
      <c r="Z266" s="496">
        <v>0</v>
      </c>
      <c r="AA266" s="496">
        <v>0</v>
      </c>
      <c r="AB266" s="496">
        <v>0</v>
      </c>
      <c r="AC266" s="496">
        <v>0</v>
      </c>
    </row>
    <row r="267" spans="2:29" outlineLevel="1">
      <c r="B267" s="324" t="s">
        <v>677</v>
      </c>
      <c r="C267" s="332" t="s">
        <v>1291</v>
      </c>
      <c r="D267" s="332">
        <v>41505</v>
      </c>
      <c r="E267" s="332">
        <v>47861</v>
      </c>
      <c r="F267" s="332" t="s">
        <v>1292</v>
      </c>
      <c r="G267" s="332" t="s">
        <v>138</v>
      </c>
      <c r="H267" s="332" t="s">
        <v>138</v>
      </c>
      <c r="I267" s="1228">
        <v>167.61</v>
      </c>
      <c r="J267" s="332" t="s">
        <v>1258</v>
      </c>
      <c r="K267" s="332" t="s">
        <v>127</v>
      </c>
      <c r="L267" s="1228">
        <v>4.3284999999999997E-2</v>
      </c>
      <c r="M267" s="332" t="s">
        <v>1136</v>
      </c>
      <c r="N267" s="332" t="s">
        <v>936</v>
      </c>
      <c r="O267" s="1229">
        <v>7.3749999999999996E-2</v>
      </c>
      <c r="P267" s="332" t="s">
        <v>1135</v>
      </c>
      <c r="Q267" s="332" t="s">
        <v>1137</v>
      </c>
      <c r="R267" s="722"/>
      <c r="S267" s="722"/>
      <c r="T267" s="496">
        <v>0</v>
      </c>
      <c r="U267" s="496">
        <v>0</v>
      </c>
      <c r="V267" s="496">
        <v>0</v>
      </c>
      <c r="W267" s="496">
        <v>0</v>
      </c>
      <c r="X267" s="496">
        <v>0</v>
      </c>
      <c r="Y267" s="496">
        <v>0</v>
      </c>
      <c r="Z267" s="496">
        <v>0</v>
      </c>
      <c r="AA267" s="496">
        <v>0</v>
      </c>
      <c r="AB267" s="496">
        <v>0</v>
      </c>
      <c r="AC267" s="496">
        <v>0</v>
      </c>
    </row>
    <row r="268" spans="2:29" outlineLevel="1">
      <c r="B268" s="324" t="s">
        <v>678</v>
      </c>
      <c r="C268" s="332" t="s">
        <v>1293</v>
      </c>
      <c r="D268" s="332">
        <v>41975</v>
      </c>
      <c r="E268" s="332">
        <v>47861</v>
      </c>
      <c r="F268" s="332" t="s">
        <v>1294</v>
      </c>
      <c r="G268" s="332" t="s">
        <v>138</v>
      </c>
      <c r="H268" s="332" t="s">
        <v>138</v>
      </c>
      <c r="I268" s="1228">
        <v>45</v>
      </c>
      <c r="J268" s="332" t="s">
        <v>1258</v>
      </c>
      <c r="K268" s="332" t="s">
        <v>127</v>
      </c>
      <c r="L268" s="1228">
        <v>5.0075000000000001E-2</v>
      </c>
      <c r="M268" s="332" t="s">
        <v>1136</v>
      </c>
      <c r="N268" s="332" t="s">
        <v>936</v>
      </c>
      <c r="O268" s="1229">
        <v>7.3749999999999996E-2</v>
      </c>
      <c r="P268" s="332" t="s">
        <v>1135</v>
      </c>
      <c r="Q268" s="332" t="s">
        <v>1279</v>
      </c>
      <c r="R268" s="722"/>
      <c r="S268" s="722"/>
      <c r="T268" s="496">
        <v>0</v>
      </c>
      <c r="U268" s="496">
        <v>0</v>
      </c>
      <c r="V268" s="496">
        <v>0</v>
      </c>
      <c r="W268" s="496">
        <v>0</v>
      </c>
      <c r="X268" s="496">
        <v>0</v>
      </c>
      <c r="Y268" s="496">
        <v>0</v>
      </c>
      <c r="Z268" s="496">
        <v>0</v>
      </c>
      <c r="AA268" s="496">
        <v>0</v>
      </c>
      <c r="AB268" s="496">
        <v>0</v>
      </c>
      <c r="AC268" s="496">
        <v>0</v>
      </c>
    </row>
    <row r="269" spans="2:29" outlineLevel="1">
      <c r="B269" s="324" t="s">
        <v>679</v>
      </c>
      <c r="C269" s="332" t="s">
        <v>1295</v>
      </c>
      <c r="D269" s="332">
        <v>41975</v>
      </c>
      <c r="E269" s="332">
        <v>47861</v>
      </c>
      <c r="F269" s="332" t="s">
        <v>1294</v>
      </c>
      <c r="G269" s="332" t="s">
        <v>138</v>
      </c>
      <c r="H269" s="332" t="s">
        <v>138</v>
      </c>
      <c r="I269" s="1228">
        <v>45</v>
      </c>
      <c r="J269" s="332" t="s">
        <v>1258</v>
      </c>
      <c r="K269" s="332" t="s">
        <v>127</v>
      </c>
      <c r="L269" s="1228">
        <v>5.008E-2</v>
      </c>
      <c r="M269" s="332" t="s">
        <v>1136</v>
      </c>
      <c r="N269" s="332" t="s">
        <v>936</v>
      </c>
      <c r="O269" s="1229">
        <v>7.3749999999999996E-2</v>
      </c>
      <c r="P269" s="332" t="s">
        <v>1135</v>
      </c>
      <c r="Q269" s="332" t="s">
        <v>1163</v>
      </c>
      <c r="R269" s="722"/>
      <c r="S269" s="722"/>
      <c r="T269" s="496">
        <v>0</v>
      </c>
      <c r="U269" s="496">
        <v>0</v>
      </c>
      <c r="V269" s="496">
        <v>0</v>
      </c>
      <c r="W269" s="496">
        <v>0</v>
      </c>
      <c r="X269" s="496">
        <v>0</v>
      </c>
      <c r="Y269" s="496">
        <v>0</v>
      </c>
      <c r="Z269" s="496">
        <v>0</v>
      </c>
      <c r="AA269" s="496">
        <v>0</v>
      </c>
      <c r="AB269" s="496">
        <v>0</v>
      </c>
      <c r="AC269" s="496">
        <v>0</v>
      </c>
    </row>
    <row r="270" spans="2:29" outlineLevel="1">
      <c r="B270" s="324" t="s">
        <v>680</v>
      </c>
      <c r="C270" s="332" t="s">
        <v>1296</v>
      </c>
      <c r="D270" s="332">
        <v>42354</v>
      </c>
      <c r="E270" s="332">
        <v>46546</v>
      </c>
      <c r="F270" s="332" t="s">
        <v>1297</v>
      </c>
      <c r="G270" s="332" t="s">
        <v>138</v>
      </c>
      <c r="H270" s="332" t="s">
        <v>138</v>
      </c>
      <c r="I270" s="1228">
        <v>21.5</v>
      </c>
      <c r="J270" s="332" t="s">
        <v>1134</v>
      </c>
      <c r="K270" s="332" t="s">
        <v>936</v>
      </c>
      <c r="L270" s="1228">
        <v>0.04</v>
      </c>
      <c r="M270" s="332" t="s">
        <v>1135</v>
      </c>
      <c r="N270" s="332" t="s">
        <v>127</v>
      </c>
      <c r="O270" s="1229">
        <v>1.55E-2</v>
      </c>
      <c r="P270" s="332" t="s">
        <v>1136</v>
      </c>
      <c r="Q270" s="332" t="s">
        <v>1166</v>
      </c>
      <c r="R270" s="722"/>
      <c r="S270" s="722"/>
      <c r="T270" s="496">
        <v>0</v>
      </c>
      <c r="U270" s="496">
        <v>0</v>
      </c>
      <c r="V270" s="496">
        <v>0</v>
      </c>
      <c r="W270" s="496">
        <v>0</v>
      </c>
      <c r="X270" s="496">
        <v>0</v>
      </c>
      <c r="Y270" s="496">
        <v>0</v>
      </c>
      <c r="Z270" s="496">
        <v>0</v>
      </c>
      <c r="AA270" s="496">
        <v>0</v>
      </c>
      <c r="AB270" s="496">
        <v>0</v>
      </c>
      <c r="AC270" s="496">
        <v>0</v>
      </c>
    </row>
    <row r="271" spans="2:29" outlineLevel="1">
      <c r="B271" s="324" t="s">
        <v>681</v>
      </c>
      <c r="C271" s="332" t="s">
        <v>1298</v>
      </c>
      <c r="D271" s="332">
        <v>42697</v>
      </c>
      <c r="E271" s="332">
        <v>46362</v>
      </c>
      <c r="F271" s="332" t="s">
        <v>1299</v>
      </c>
      <c r="G271" s="332" t="s">
        <v>138</v>
      </c>
      <c r="H271" s="332" t="s">
        <v>138</v>
      </c>
      <c r="I271" s="1228">
        <v>100</v>
      </c>
      <c r="J271" s="332" t="s">
        <v>1134</v>
      </c>
      <c r="K271" s="332" t="s">
        <v>127</v>
      </c>
      <c r="L271" s="1228">
        <v>6.9800000000000001E-3</v>
      </c>
      <c r="M271" s="332" t="s">
        <v>1136</v>
      </c>
      <c r="N271" s="332" t="s">
        <v>936</v>
      </c>
      <c r="O271" s="1229">
        <v>2.0459999999999999E-2</v>
      </c>
      <c r="P271" s="332" t="s">
        <v>1135</v>
      </c>
      <c r="Q271" s="332" t="s">
        <v>1282</v>
      </c>
      <c r="R271" s="722"/>
      <c r="S271" s="722"/>
      <c r="T271" s="496">
        <v>0.3</v>
      </c>
      <c r="U271" s="496">
        <v>-0.89999999999999991</v>
      </c>
      <c r="V271" s="496">
        <v>-1.0954877399999998</v>
      </c>
      <c r="W271" s="496">
        <v>-1.0954877399999998</v>
      </c>
      <c r="X271" s="496">
        <v>-1.0954877399999998</v>
      </c>
      <c r="Y271" s="496">
        <v>0</v>
      </c>
      <c r="Z271" s="496">
        <v>0</v>
      </c>
      <c r="AA271" s="496">
        <v>0</v>
      </c>
      <c r="AB271" s="496">
        <v>0</v>
      </c>
      <c r="AC271" s="496">
        <v>0</v>
      </c>
    </row>
    <row r="272" spans="2:29" outlineLevel="1">
      <c r="B272" s="324" t="s">
        <v>682</v>
      </c>
      <c r="C272" s="332" t="s">
        <v>1300</v>
      </c>
      <c r="D272" s="332">
        <v>41305</v>
      </c>
      <c r="E272" s="332">
        <v>45686</v>
      </c>
      <c r="F272" s="332" t="s">
        <v>1301</v>
      </c>
      <c r="G272" s="332" t="s">
        <v>138</v>
      </c>
      <c r="H272" s="332" t="s">
        <v>138</v>
      </c>
      <c r="I272" s="1228">
        <v>77</v>
      </c>
      <c r="J272" s="332" t="s">
        <v>1134</v>
      </c>
      <c r="K272" s="332" t="s">
        <v>127</v>
      </c>
      <c r="L272" s="1228">
        <v>8.3000000000000001E-3</v>
      </c>
      <c r="M272" s="332" t="s">
        <v>1136</v>
      </c>
      <c r="N272" s="332" t="s">
        <v>936</v>
      </c>
      <c r="O272" s="1229">
        <v>3.1800000000000002E-2</v>
      </c>
      <c r="P272" s="332" t="s">
        <v>1135</v>
      </c>
      <c r="Q272" s="332" t="s">
        <v>155</v>
      </c>
      <c r="R272" s="722"/>
      <c r="S272" s="722"/>
      <c r="T272" s="496">
        <v>0</v>
      </c>
      <c r="U272" s="496">
        <v>0</v>
      </c>
      <c r="V272" s="496">
        <v>0</v>
      </c>
      <c r="W272" s="496">
        <v>0</v>
      </c>
      <c r="X272" s="496">
        <v>0</v>
      </c>
      <c r="Y272" s="496">
        <v>0</v>
      </c>
      <c r="Z272" s="496">
        <v>0</v>
      </c>
      <c r="AA272" s="496">
        <v>0</v>
      </c>
      <c r="AB272" s="496">
        <v>0</v>
      </c>
      <c r="AC272" s="496">
        <v>0</v>
      </c>
    </row>
    <row r="273" spans="2:29" outlineLevel="1">
      <c r="B273" s="324" t="s">
        <v>683</v>
      </c>
      <c r="C273" s="332" t="s">
        <v>1302</v>
      </c>
      <c r="D273" s="332">
        <v>43718</v>
      </c>
      <c r="E273" s="332">
        <v>50664</v>
      </c>
      <c r="F273" s="332" t="s">
        <v>1303</v>
      </c>
      <c r="G273" s="332" t="s">
        <v>138</v>
      </c>
      <c r="H273" s="332" t="s">
        <v>138</v>
      </c>
      <c r="I273" s="1228">
        <v>30</v>
      </c>
      <c r="J273" s="332" t="s">
        <v>1134</v>
      </c>
      <c r="K273" s="332" t="s">
        <v>936</v>
      </c>
      <c r="L273" s="1228">
        <v>0.02</v>
      </c>
      <c r="M273" s="332" t="s">
        <v>1135</v>
      </c>
      <c r="N273" s="332" t="s">
        <v>127</v>
      </c>
      <c r="O273" s="1229">
        <v>1.1945000000000001E-2</v>
      </c>
      <c r="P273" s="332" t="s">
        <v>1136</v>
      </c>
      <c r="Q273" s="332" t="s">
        <v>1137</v>
      </c>
      <c r="R273" s="722"/>
      <c r="S273" s="722"/>
      <c r="T273" s="496">
        <v>0</v>
      </c>
      <c r="U273" s="496">
        <v>0</v>
      </c>
      <c r="V273" s="496">
        <v>0</v>
      </c>
      <c r="W273" s="496">
        <v>0</v>
      </c>
      <c r="X273" s="496">
        <v>0</v>
      </c>
      <c r="Y273" s="496">
        <v>0</v>
      </c>
      <c r="Z273" s="496">
        <v>0</v>
      </c>
      <c r="AA273" s="496">
        <v>0</v>
      </c>
      <c r="AB273" s="496">
        <v>0</v>
      </c>
      <c r="AC273" s="496">
        <v>0</v>
      </c>
    </row>
    <row r="274" spans="2:29" outlineLevel="1">
      <c r="B274" s="324" t="s">
        <v>684</v>
      </c>
      <c r="C274" s="332" t="s">
        <v>1304</v>
      </c>
      <c r="D274" s="332">
        <v>43843</v>
      </c>
      <c r="E274" s="332">
        <v>50664</v>
      </c>
      <c r="F274" s="332" t="s">
        <v>1305</v>
      </c>
      <c r="G274" s="332" t="s">
        <v>138</v>
      </c>
      <c r="H274" s="332" t="s">
        <v>138</v>
      </c>
      <c r="I274" s="1228">
        <v>30</v>
      </c>
      <c r="J274" s="332" t="s">
        <v>1134</v>
      </c>
      <c r="K274" s="332" t="s">
        <v>936</v>
      </c>
      <c r="L274" s="1228">
        <v>0.02</v>
      </c>
      <c r="M274" s="332" t="s">
        <v>1135</v>
      </c>
      <c r="N274" s="332" t="s">
        <v>127</v>
      </c>
      <c r="O274" s="1229">
        <v>9.6399999999999993E-3</v>
      </c>
      <c r="P274" s="332" t="s">
        <v>1136</v>
      </c>
      <c r="Q274" s="332" t="s">
        <v>1163</v>
      </c>
      <c r="R274" s="722"/>
      <c r="S274" s="722"/>
      <c r="T274" s="496">
        <v>0</v>
      </c>
      <c r="U274" s="496">
        <v>0</v>
      </c>
      <c r="V274" s="496">
        <v>0</v>
      </c>
      <c r="W274" s="496">
        <v>0</v>
      </c>
      <c r="X274" s="496">
        <v>0</v>
      </c>
      <c r="Y274" s="496">
        <v>0</v>
      </c>
      <c r="Z274" s="496">
        <v>0</v>
      </c>
      <c r="AA274" s="496">
        <v>0</v>
      </c>
      <c r="AB274" s="496">
        <v>0</v>
      </c>
      <c r="AC274" s="496">
        <v>0</v>
      </c>
    </row>
    <row r="275" spans="2:29" outlineLevel="1">
      <c r="B275" s="324" t="s">
        <v>685</v>
      </c>
      <c r="C275" s="332" t="s">
        <v>1306</v>
      </c>
      <c r="D275" s="332">
        <v>43889</v>
      </c>
      <c r="E275" s="332">
        <v>49369</v>
      </c>
      <c r="F275" s="332" t="s">
        <v>1307</v>
      </c>
      <c r="G275" s="332" t="s">
        <v>138</v>
      </c>
      <c r="H275" s="332" t="s">
        <v>138</v>
      </c>
      <c r="I275" s="1228">
        <v>7</v>
      </c>
      <c r="J275" s="332" t="s">
        <v>1134</v>
      </c>
      <c r="K275" s="332" t="s">
        <v>127</v>
      </c>
      <c r="L275" s="1228">
        <v>7.1999999999999998E-3</v>
      </c>
      <c r="M275" s="332" t="s">
        <v>1136</v>
      </c>
      <c r="N275" s="332" t="s">
        <v>936</v>
      </c>
      <c r="O275" s="1229">
        <v>0.05</v>
      </c>
      <c r="P275" s="332" t="s">
        <v>1135</v>
      </c>
      <c r="Q275" s="332" t="s">
        <v>1166</v>
      </c>
      <c r="R275" s="722"/>
      <c r="S275" s="722"/>
      <c r="T275" s="496">
        <v>0</v>
      </c>
      <c r="U275" s="496">
        <v>0</v>
      </c>
      <c r="V275" s="496">
        <v>0</v>
      </c>
      <c r="W275" s="496">
        <v>0</v>
      </c>
      <c r="X275" s="496">
        <v>0</v>
      </c>
      <c r="Y275" s="496">
        <v>0</v>
      </c>
      <c r="Z275" s="496">
        <v>0</v>
      </c>
      <c r="AA275" s="496">
        <v>0</v>
      </c>
      <c r="AB275" s="496">
        <v>0</v>
      </c>
      <c r="AC275" s="496">
        <v>0</v>
      </c>
    </row>
    <row r="276" spans="2:29" outlineLevel="1">
      <c r="B276" s="324" t="s">
        <v>686</v>
      </c>
      <c r="C276" s="332" t="s">
        <v>1308</v>
      </c>
      <c r="D276" s="332">
        <v>43930</v>
      </c>
      <c r="E276" s="332">
        <v>51243</v>
      </c>
      <c r="F276" s="332" t="s">
        <v>1309</v>
      </c>
      <c r="G276" s="332" t="s">
        <v>138</v>
      </c>
      <c r="H276" s="332" t="s">
        <v>138</v>
      </c>
      <c r="I276" s="1228">
        <v>25</v>
      </c>
      <c r="J276" s="332" t="s">
        <v>1134</v>
      </c>
      <c r="K276" s="332" t="s">
        <v>936</v>
      </c>
      <c r="L276" s="1228">
        <v>0.02</v>
      </c>
      <c r="M276" s="332" t="s">
        <v>1135</v>
      </c>
      <c r="N276" s="332" t="s">
        <v>127</v>
      </c>
      <c r="O276" s="1229">
        <v>1.3859999999999999E-2</v>
      </c>
      <c r="P276" s="332" t="s">
        <v>1136</v>
      </c>
      <c r="Q276" s="332" t="s">
        <v>1166</v>
      </c>
      <c r="R276" s="722"/>
      <c r="S276" s="722"/>
      <c r="T276" s="496">
        <v>0</v>
      </c>
      <c r="U276" s="496">
        <v>0</v>
      </c>
      <c r="V276" s="496">
        <v>0</v>
      </c>
      <c r="W276" s="496">
        <v>0</v>
      </c>
      <c r="X276" s="496">
        <v>0</v>
      </c>
      <c r="Y276" s="496">
        <v>0</v>
      </c>
      <c r="Z276" s="496">
        <v>0</v>
      </c>
      <c r="AA276" s="496">
        <v>0</v>
      </c>
      <c r="AB276" s="496">
        <v>0</v>
      </c>
      <c r="AC276" s="496">
        <v>0</v>
      </c>
    </row>
    <row r="277" spans="2:29" outlineLevel="1">
      <c r="B277" s="324" t="s">
        <v>687</v>
      </c>
      <c r="C277" s="332" t="s">
        <v>1310</v>
      </c>
      <c r="D277" s="332">
        <v>44005</v>
      </c>
      <c r="E277" s="332">
        <v>46281</v>
      </c>
      <c r="F277" s="332" t="s">
        <v>1311</v>
      </c>
      <c r="G277" s="332" t="s">
        <v>138</v>
      </c>
      <c r="H277" s="332" t="s">
        <v>138</v>
      </c>
      <c r="I277" s="1228">
        <v>35</v>
      </c>
      <c r="J277" s="332" t="s">
        <v>1134</v>
      </c>
      <c r="K277" s="332" t="s">
        <v>936</v>
      </c>
      <c r="L277" s="1228">
        <v>1.375E-2</v>
      </c>
      <c r="M277" s="332" t="s">
        <v>1135</v>
      </c>
      <c r="N277" s="332" t="s">
        <v>127</v>
      </c>
      <c r="O277" s="1229">
        <v>1.0859999999999998E-2</v>
      </c>
      <c r="P277" s="332" t="s">
        <v>1136</v>
      </c>
      <c r="Q277" s="332" t="s">
        <v>1142</v>
      </c>
      <c r="R277" s="722"/>
      <c r="S277" s="722"/>
      <c r="T277" s="496">
        <v>0</v>
      </c>
      <c r="U277" s="496">
        <v>0</v>
      </c>
      <c r="V277" s="496">
        <v>0</v>
      </c>
      <c r="W277" s="496">
        <v>0</v>
      </c>
      <c r="X277" s="496">
        <v>0</v>
      </c>
      <c r="Y277" s="496">
        <v>0</v>
      </c>
      <c r="Z277" s="496">
        <v>0</v>
      </c>
      <c r="AA277" s="496">
        <v>0</v>
      </c>
      <c r="AB277" s="496">
        <v>0</v>
      </c>
      <c r="AC277" s="496">
        <v>0</v>
      </c>
    </row>
    <row r="278" spans="2:29" outlineLevel="1">
      <c r="B278" s="324" t="s">
        <v>688</v>
      </c>
      <c r="C278" s="332" t="s">
        <v>1312</v>
      </c>
      <c r="D278" s="332">
        <v>44005</v>
      </c>
      <c r="E278" s="332">
        <v>46281</v>
      </c>
      <c r="F278" s="332" t="s">
        <v>1311</v>
      </c>
      <c r="G278" s="332" t="s">
        <v>138</v>
      </c>
      <c r="H278" s="332" t="s">
        <v>138</v>
      </c>
      <c r="I278" s="1228">
        <v>35</v>
      </c>
      <c r="J278" s="332" t="s">
        <v>1134</v>
      </c>
      <c r="K278" s="332" t="s">
        <v>936</v>
      </c>
      <c r="L278" s="1228">
        <v>1.375E-2</v>
      </c>
      <c r="M278" s="332" t="s">
        <v>1135</v>
      </c>
      <c r="N278" s="332" t="s">
        <v>127</v>
      </c>
      <c r="O278" s="1229">
        <v>1.0905E-2</v>
      </c>
      <c r="P278" s="332" t="s">
        <v>1136</v>
      </c>
      <c r="Q278" s="332" t="s">
        <v>1163</v>
      </c>
      <c r="R278" s="722"/>
      <c r="S278" s="722"/>
      <c r="T278" s="496">
        <v>0</v>
      </c>
      <c r="U278" s="496">
        <v>0</v>
      </c>
      <c r="V278" s="496">
        <v>0</v>
      </c>
      <c r="W278" s="496">
        <v>0</v>
      </c>
      <c r="X278" s="496">
        <v>0</v>
      </c>
      <c r="Y278" s="496">
        <v>0</v>
      </c>
      <c r="Z278" s="496">
        <v>0</v>
      </c>
      <c r="AA278" s="496">
        <v>0</v>
      </c>
      <c r="AB278" s="496">
        <v>0</v>
      </c>
      <c r="AC278" s="496">
        <v>0</v>
      </c>
    </row>
    <row r="279" spans="2:29" outlineLevel="1">
      <c r="B279" s="324" t="s">
        <v>689</v>
      </c>
      <c r="C279" s="332" t="s">
        <v>1313</v>
      </c>
      <c r="D279" s="332">
        <v>44106</v>
      </c>
      <c r="E279" s="332">
        <v>47861</v>
      </c>
      <c r="F279" s="332" t="s">
        <v>1314</v>
      </c>
      <c r="G279" s="332" t="s">
        <v>138</v>
      </c>
      <c r="H279" s="332" t="s">
        <v>138</v>
      </c>
      <c r="I279" s="1228">
        <v>19</v>
      </c>
      <c r="J279" s="332" t="s">
        <v>1134</v>
      </c>
      <c r="K279" s="332" t="s">
        <v>127</v>
      </c>
      <c r="L279" s="1228">
        <v>3.0435E-2</v>
      </c>
      <c r="M279" s="332" t="s">
        <v>1136</v>
      </c>
      <c r="N279" s="332" t="s">
        <v>936</v>
      </c>
      <c r="O279" s="1229">
        <v>7.3749999999999996E-2</v>
      </c>
      <c r="P279" s="332">
        <v>0</v>
      </c>
      <c r="Q279" s="332" t="s">
        <v>1142</v>
      </c>
      <c r="R279" s="722"/>
      <c r="S279" s="722"/>
      <c r="T279" s="496">
        <v>0</v>
      </c>
      <c r="U279" s="496">
        <v>0</v>
      </c>
      <c r="V279" s="496">
        <v>0</v>
      </c>
      <c r="W279" s="496">
        <v>0</v>
      </c>
      <c r="X279" s="496">
        <v>0</v>
      </c>
      <c r="Y279" s="496">
        <v>0</v>
      </c>
      <c r="Z279" s="496">
        <v>0</v>
      </c>
      <c r="AA279" s="496">
        <v>0</v>
      </c>
      <c r="AB279" s="496">
        <v>0</v>
      </c>
      <c r="AC279" s="496">
        <v>0</v>
      </c>
    </row>
    <row r="280" spans="2:29" outlineLevel="1">
      <c r="B280" s="324" t="s">
        <v>690</v>
      </c>
      <c r="C280" s="332" t="s">
        <v>1315</v>
      </c>
      <c r="D280" s="332">
        <v>44106</v>
      </c>
      <c r="E280" s="332">
        <v>46546</v>
      </c>
      <c r="F280" s="332" t="s">
        <v>1316</v>
      </c>
      <c r="G280" s="332" t="s">
        <v>138</v>
      </c>
      <c r="H280" s="332" t="s">
        <v>138</v>
      </c>
      <c r="I280" s="1228">
        <v>15</v>
      </c>
      <c r="J280" s="332" t="s">
        <v>1134</v>
      </c>
      <c r="K280" s="332" t="s">
        <v>936</v>
      </c>
      <c r="L280" s="1228">
        <v>0.04</v>
      </c>
      <c r="M280" s="332">
        <v>0</v>
      </c>
      <c r="N280" s="332" t="s">
        <v>127</v>
      </c>
      <c r="O280" s="1229">
        <v>1.3575E-2</v>
      </c>
      <c r="P280" s="332" t="s">
        <v>1136</v>
      </c>
      <c r="Q280" s="332" t="s">
        <v>1142</v>
      </c>
      <c r="R280" s="722"/>
      <c r="S280" s="722"/>
      <c r="T280" s="496">
        <v>0</v>
      </c>
      <c r="U280" s="496">
        <v>0</v>
      </c>
      <c r="V280" s="496">
        <v>0</v>
      </c>
      <c r="W280" s="496">
        <v>0</v>
      </c>
      <c r="X280" s="496">
        <v>0</v>
      </c>
      <c r="Y280" s="496">
        <v>0</v>
      </c>
      <c r="Z280" s="496">
        <v>0</v>
      </c>
      <c r="AA280" s="496">
        <v>0</v>
      </c>
      <c r="AB280" s="496">
        <v>0</v>
      </c>
      <c r="AC280" s="496">
        <v>0</v>
      </c>
    </row>
    <row r="281" spans="2:29" outlineLevel="1">
      <c r="B281" s="324" t="s">
        <v>691</v>
      </c>
      <c r="C281" s="332" t="s">
        <v>1317</v>
      </c>
      <c r="D281" s="332">
        <v>44106</v>
      </c>
      <c r="E281" s="332">
        <v>46546</v>
      </c>
      <c r="F281" s="332" t="s">
        <v>1318</v>
      </c>
      <c r="G281" s="332" t="s">
        <v>138</v>
      </c>
      <c r="H281" s="332" t="s">
        <v>138</v>
      </c>
      <c r="I281" s="1228">
        <v>43</v>
      </c>
      <c r="J281" s="332" t="s">
        <v>1134</v>
      </c>
      <c r="K281" s="332" t="s">
        <v>936</v>
      </c>
      <c r="L281" s="1228">
        <v>0.04</v>
      </c>
      <c r="M281" s="332">
        <v>0</v>
      </c>
      <c r="N281" s="332" t="s">
        <v>127</v>
      </c>
      <c r="O281" s="1229">
        <v>1.3475000000000001E-2</v>
      </c>
      <c r="P281" s="332" t="s">
        <v>1136</v>
      </c>
      <c r="Q281" s="332" t="s">
        <v>1142</v>
      </c>
      <c r="R281" s="722"/>
      <c r="S281" s="722"/>
      <c r="T281" s="496">
        <v>0</v>
      </c>
      <c r="U281" s="496">
        <v>0</v>
      </c>
      <c r="V281" s="496">
        <v>0</v>
      </c>
      <c r="W281" s="496">
        <v>0</v>
      </c>
      <c r="X281" s="496">
        <v>0</v>
      </c>
      <c r="Y281" s="496">
        <v>0</v>
      </c>
      <c r="Z281" s="496">
        <v>0</v>
      </c>
      <c r="AA281" s="496">
        <v>0</v>
      </c>
      <c r="AB281" s="496">
        <v>0</v>
      </c>
      <c r="AC281" s="496">
        <v>0</v>
      </c>
    </row>
    <row r="282" spans="2:29" outlineLevel="1">
      <c r="B282" s="324" t="s">
        <v>692</v>
      </c>
      <c r="C282" s="332" t="s">
        <v>1319</v>
      </c>
      <c r="D282" s="332">
        <v>44106</v>
      </c>
      <c r="E282" s="332">
        <v>46546</v>
      </c>
      <c r="F282" s="332" t="s">
        <v>1320</v>
      </c>
      <c r="G282" s="332" t="s">
        <v>138</v>
      </c>
      <c r="H282" s="332" t="s">
        <v>138</v>
      </c>
      <c r="I282" s="1228">
        <v>10.75</v>
      </c>
      <c r="J282" s="332" t="s">
        <v>1134</v>
      </c>
      <c r="K282" s="332" t="s">
        <v>936</v>
      </c>
      <c r="L282" s="1228">
        <v>0.04</v>
      </c>
      <c r="M282" s="332">
        <v>0</v>
      </c>
      <c r="N282" s="332" t="s">
        <v>127</v>
      </c>
      <c r="O282" s="1229">
        <v>1.575E-2</v>
      </c>
      <c r="P282" s="332" t="s">
        <v>1136</v>
      </c>
      <c r="Q282" s="332" t="s">
        <v>1142</v>
      </c>
      <c r="R282" s="722"/>
      <c r="S282" s="722"/>
      <c r="T282" s="496">
        <v>0</v>
      </c>
      <c r="U282" s="496">
        <v>0</v>
      </c>
      <c r="V282" s="496">
        <v>0</v>
      </c>
      <c r="W282" s="496">
        <v>0</v>
      </c>
      <c r="X282" s="496">
        <v>0</v>
      </c>
      <c r="Y282" s="496">
        <v>0</v>
      </c>
      <c r="Z282" s="496">
        <v>0</v>
      </c>
      <c r="AA282" s="496">
        <v>0</v>
      </c>
      <c r="AB282" s="496">
        <v>0</v>
      </c>
      <c r="AC282" s="496">
        <v>0</v>
      </c>
    </row>
    <row r="283" spans="2:29" outlineLevel="1">
      <c r="B283" s="324" t="s">
        <v>693</v>
      </c>
      <c r="C283" s="332" t="s">
        <v>1321</v>
      </c>
      <c r="D283" s="332">
        <v>44106</v>
      </c>
      <c r="E283" s="332">
        <v>46546</v>
      </c>
      <c r="F283" s="332" t="s">
        <v>1322</v>
      </c>
      <c r="G283" s="332" t="s">
        <v>138</v>
      </c>
      <c r="H283" s="332" t="s">
        <v>138</v>
      </c>
      <c r="I283" s="1228">
        <v>21.5</v>
      </c>
      <c r="J283" s="332" t="s">
        <v>1134</v>
      </c>
      <c r="K283" s="332" t="s">
        <v>936</v>
      </c>
      <c r="L283" s="1228">
        <v>0.04</v>
      </c>
      <c r="M283" s="332">
        <v>0</v>
      </c>
      <c r="N283" s="332" t="s">
        <v>127</v>
      </c>
      <c r="O283" s="1229">
        <v>1.6400000000000001E-2</v>
      </c>
      <c r="P283" s="332" t="s">
        <v>1136</v>
      </c>
      <c r="Q283" s="332" t="s">
        <v>1142</v>
      </c>
      <c r="R283" s="722"/>
      <c r="S283" s="722"/>
      <c r="T283" s="496">
        <v>0</v>
      </c>
      <c r="U283" s="496">
        <v>0</v>
      </c>
      <c r="V283" s="496">
        <v>0</v>
      </c>
      <c r="W283" s="496">
        <v>0</v>
      </c>
      <c r="X283" s="496">
        <v>0</v>
      </c>
      <c r="Y283" s="496">
        <v>0</v>
      </c>
      <c r="Z283" s="496">
        <v>0</v>
      </c>
      <c r="AA283" s="496">
        <v>0</v>
      </c>
      <c r="AB283" s="496">
        <v>0</v>
      </c>
      <c r="AC283" s="496">
        <v>0</v>
      </c>
    </row>
    <row r="284" spans="2:29" outlineLevel="1">
      <c r="B284" s="324" t="s">
        <v>694</v>
      </c>
      <c r="C284" s="332" t="s">
        <v>1323</v>
      </c>
      <c r="D284" s="332">
        <v>43929</v>
      </c>
      <c r="E284" s="332">
        <v>49346</v>
      </c>
      <c r="F284" s="332" t="s">
        <v>1324</v>
      </c>
      <c r="G284" s="332" t="s">
        <v>138</v>
      </c>
      <c r="H284" s="332" t="s">
        <v>138</v>
      </c>
      <c r="I284" s="1228">
        <v>25</v>
      </c>
      <c r="J284" s="332" t="s">
        <v>1134</v>
      </c>
      <c r="K284" s="332" t="s">
        <v>936</v>
      </c>
      <c r="L284" s="1228">
        <v>2.75E-2</v>
      </c>
      <c r="M284" s="332">
        <v>0</v>
      </c>
      <c r="N284" s="332" t="s">
        <v>127</v>
      </c>
      <c r="O284" s="1229">
        <v>2.086E-2</v>
      </c>
      <c r="P284" s="332" t="s">
        <v>1136</v>
      </c>
      <c r="Q284" s="332" t="s">
        <v>1166</v>
      </c>
      <c r="R284" s="722"/>
      <c r="S284" s="722"/>
      <c r="T284" s="496">
        <v>0</v>
      </c>
      <c r="U284" s="496">
        <v>0</v>
      </c>
      <c r="V284" s="496">
        <v>0</v>
      </c>
      <c r="W284" s="496">
        <v>0</v>
      </c>
      <c r="X284" s="496">
        <v>0</v>
      </c>
      <c r="Y284" s="496">
        <v>0</v>
      </c>
      <c r="Z284" s="496">
        <v>0</v>
      </c>
      <c r="AA284" s="496">
        <v>0</v>
      </c>
      <c r="AB284" s="496">
        <v>0</v>
      </c>
      <c r="AC284" s="496">
        <v>0</v>
      </c>
    </row>
    <row r="285" spans="2:29" outlineLevel="1">
      <c r="B285" s="324" t="s">
        <v>695</v>
      </c>
      <c r="C285" s="332" t="s">
        <v>1325</v>
      </c>
      <c r="D285" s="332">
        <v>43929</v>
      </c>
      <c r="E285" s="332">
        <v>49346</v>
      </c>
      <c r="F285" s="332" t="s">
        <v>1326</v>
      </c>
      <c r="G285" s="332" t="s">
        <v>138</v>
      </c>
      <c r="H285" s="332" t="s">
        <v>138</v>
      </c>
      <c r="I285" s="1228">
        <v>25</v>
      </c>
      <c r="J285" s="332" t="s">
        <v>1134</v>
      </c>
      <c r="K285" s="332" t="s">
        <v>936</v>
      </c>
      <c r="L285" s="1228">
        <v>2.75E-2</v>
      </c>
      <c r="M285" s="332">
        <v>0</v>
      </c>
      <c r="N285" s="332" t="s">
        <v>127</v>
      </c>
      <c r="O285" s="1229">
        <v>2.0725E-2</v>
      </c>
      <c r="P285" s="332" t="s">
        <v>1136</v>
      </c>
      <c r="Q285" s="332" t="s">
        <v>1163</v>
      </c>
      <c r="R285" s="722"/>
      <c r="S285" s="722"/>
      <c r="T285" s="496">
        <v>0</v>
      </c>
      <c r="U285" s="496">
        <v>0</v>
      </c>
      <c r="V285" s="496">
        <v>0</v>
      </c>
      <c r="W285" s="496">
        <v>0</v>
      </c>
      <c r="X285" s="496">
        <v>0</v>
      </c>
      <c r="Y285" s="496">
        <v>0</v>
      </c>
      <c r="Z285" s="496">
        <v>0</v>
      </c>
      <c r="AA285" s="496">
        <v>0</v>
      </c>
      <c r="AB285" s="496">
        <v>0</v>
      </c>
      <c r="AC285" s="496">
        <v>0</v>
      </c>
    </row>
    <row r="286" spans="2:29" outlineLevel="1">
      <c r="B286" s="324" t="s">
        <v>696</v>
      </c>
      <c r="C286" s="332" t="s">
        <v>1327</v>
      </c>
      <c r="D286" s="332">
        <v>43929</v>
      </c>
      <c r="E286" s="332">
        <v>50664</v>
      </c>
      <c r="F286" s="332" t="s">
        <v>1328</v>
      </c>
      <c r="G286" s="332" t="s">
        <v>138</v>
      </c>
      <c r="H286" s="332" t="s">
        <v>138</v>
      </c>
      <c r="I286" s="1228">
        <v>25</v>
      </c>
      <c r="J286" s="332" t="s">
        <v>1134</v>
      </c>
      <c r="K286" s="332" t="s">
        <v>936</v>
      </c>
      <c r="L286" s="1228">
        <v>0.02</v>
      </c>
      <c r="M286" s="332">
        <v>0</v>
      </c>
      <c r="N286" s="332" t="s">
        <v>127</v>
      </c>
      <c r="O286" s="1229">
        <v>1.3275E-2</v>
      </c>
      <c r="P286" s="332" t="s">
        <v>1136</v>
      </c>
      <c r="Q286" s="332" t="s">
        <v>1279</v>
      </c>
      <c r="R286" s="722"/>
      <c r="S286" s="722"/>
      <c r="T286" s="496">
        <v>0</v>
      </c>
      <c r="U286" s="496">
        <v>0</v>
      </c>
      <c r="V286" s="496">
        <v>0</v>
      </c>
      <c r="W286" s="496">
        <v>0</v>
      </c>
      <c r="X286" s="496">
        <v>0</v>
      </c>
      <c r="Y286" s="496">
        <v>0</v>
      </c>
      <c r="Z286" s="496">
        <v>0</v>
      </c>
      <c r="AA286" s="496">
        <v>0</v>
      </c>
      <c r="AB286" s="496">
        <v>0</v>
      </c>
      <c r="AC286" s="496">
        <v>0</v>
      </c>
    </row>
    <row r="287" spans="2:29" outlineLevel="1">
      <c r="B287" s="324" t="s">
        <v>697</v>
      </c>
      <c r="C287" s="332" t="s">
        <v>1329</v>
      </c>
      <c r="D287" s="332">
        <v>43929</v>
      </c>
      <c r="E287" s="332">
        <v>50664</v>
      </c>
      <c r="F287" s="332" t="s">
        <v>1330</v>
      </c>
      <c r="G287" s="332" t="s">
        <v>138</v>
      </c>
      <c r="H287" s="332" t="s">
        <v>138</v>
      </c>
      <c r="I287" s="1228">
        <v>25</v>
      </c>
      <c r="J287" s="332" t="s">
        <v>1134</v>
      </c>
      <c r="K287" s="332" t="s">
        <v>936</v>
      </c>
      <c r="L287" s="1228">
        <v>0.02</v>
      </c>
      <c r="M287" s="332">
        <v>0</v>
      </c>
      <c r="N287" s="332" t="s">
        <v>127</v>
      </c>
      <c r="O287" s="1229">
        <v>1.3235E-2</v>
      </c>
      <c r="P287" s="332" t="s">
        <v>1136</v>
      </c>
      <c r="Q287" s="332" t="s">
        <v>1160</v>
      </c>
      <c r="R287" s="722"/>
      <c r="S287" s="722"/>
      <c r="T287" s="496">
        <v>0</v>
      </c>
      <c r="U287" s="496">
        <v>0</v>
      </c>
      <c r="V287" s="496">
        <v>0</v>
      </c>
      <c r="W287" s="496">
        <v>0</v>
      </c>
      <c r="X287" s="496">
        <v>0</v>
      </c>
      <c r="Y287" s="496">
        <v>0</v>
      </c>
      <c r="Z287" s="496">
        <v>0</v>
      </c>
      <c r="AA287" s="496">
        <v>0</v>
      </c>
      <c r="AB287" s="496">
        <v>0</v>
      </c>
      <c r="AC287" s="496">
        <v>0</v>
      </c>
    </row>
    <row r="288" spans="2:29" outlineLevel="1">
      <c r="B288" s="324" t="s">
        <v>698</v>
      </c>
      <c r="C288" s="332" t="s">
        <v>1331</v>
      </c>
      <c r="D288" s="332">
        <v>44028</v>
      </c>
      <c r="E288" s="332">
        <v>46961</v>
      </c>
      <c r="F288" s="332" t="s">
        <v>1332</v>
      </c>
      <c r="G288" s="332" t="s">
        <v>138</v>
      </c>
      <c r="H288" s="332" t="s">
        <v>138</v>
      </c>
      <c r="I288" s="1228">
        <v>100</v>
      </c>
      <c r="J288" s="332" t="s">
        <v>1134</v>
      </c>
      <c r="K288" s="332" t="s">
        <v>936</v>
      </c>
      <c r="L288" s="1228">
        <v>1.0444999999999999E-2</v>
      </c>
      <c r="M288" s="332">
        <v>0</v>
      </c>
      <c r="N288" s="332" t="s">
        <v>127</v>
      </c>
      <c r="O288" s="1229">
        <v>7.6E-3</v>
      </c>
      <c r="P288" s="332" t="s">
        <v>1136</v>
      </c>
      <c r="Q288" s="332" t="s">
        <v>1175</v>
      </c>
      <c r="R288" s="722"/>
      <c r="S288" s="722"/>
      <c r="T288" s="496">
        <v>0</v>
      </c>
      <c r="U288" s="496">
        <v>0</v>
      </c>
      <c r="V288" s="496">
        <v>0</v>
      </c>
      <c r="W288" s="496">
        <v>0</v>
      </c>
      <c r="X288" s="496">
        <v>0</v>
      </c>
      <c r="Y288" s="496">
        <v>0</v>
      </c>
      <c r="Z288" s="496">
        <v>0</v>
      </c>
      <c r="AA288" s="496">
        <v>0</v>
      </c>
      <c r="AB288" s="496">
        <v>0</v>
      </c>
      <c r="AC288" s="496">
        <v>0</v>
      </c>
    </row>
    <row r="289" spans="2:29" outlineLevel="1">
      <c r="B289" s="324" t="s">
        <v>699</v>
      </c>
      <c r="C289" s="332" t="s">
        <v>1333</v>
      </c>
      <c r="D289" s="332">
        <v>44106</v>
      </c>
      <c r="E289" s="332">
        <v>49339</v>
      </c>
      <c r="F289" s="332" t="s">
        <v>1334</v>
      </c>
      <c r="G289" s="332" t="s">
        <v>138</v>
      </c>
      <c r="H289" s="332" t="s">
        <v>138</v>
      </c>
      <c r="I289" s="1228">
        <v>48</v>
      </c>
      <c r="J289" s="332" t="s">
        <v>1134</v>
      </c>
      <c r="K289" s="332" t="s">
        <v>127</v>
      </c>
      <c r="L289" s="1228">
        <v>1.01E-2</v>
      </c>
      <c r="M289" s="332" t="s">
        <v>1136</v>
      </c>
      <c r="N289" s="332" t="s">
        <v>936</v>
      </c>
      <c r="O289" s="1229">
        <v>4.0160000000000001E-2</v>
      </c>
      <c r="P289" s="332" t="s">
        <v>1135</v>
      </c>
      <c r="Q289" s="332" t="s">
        <v>1142</v>
      </c>
      <c r="R289" s="722"/>
      <c r="S289" s="722"/>
      <c r="T289" s="496">
        <v>0</v>
      </c>
      <c r="U289" s="496">
        <v>0</v>
      </c>
      <c r="V289" s="496">
        <v>0</v>
      </c>
      <c r="W289" s="496">
        <v>0</v>
      </c>
      <c r="X289" s="496">
        <v>0</v>
      </c>
      <c r="Y289" s="496">
        <v>0</v>
      </c>
      <c r="Z289" s="496">
        <v>0</v>
      </c>
      <c r="AA289" s="496">
        <v>0</v>
      </c>
      <c r="AB289" s="496">
        <v>0</v>
      </c>
      <c r="AC289" s="496">
        <v>0</v>
      </c>
    </row>
    <row r="290" spans="2:29" outlineLevel="1">
      <c r="B290" s="324" t="s">
        <v>700</v>
      </c>
      <c r="C290" s="332" t="s">
        <v>1335</v>
      </c>
      <c r="D290" s="332">
        <v>44321</v>
      </c>
      <c r="E290" s="332">
        <v>49346</v>
      </c>
      <c r="F290" s="332" t="s">
        <v>1336</v>
      </c>
      <c r="G290" s="332" t="s">
        <v>138</v>
      </c>
      <c r="H290" s="332" t="s">
        <v>138</v>
      </c>
      <c r="I290" s="1228">
        <v>25</v>
      </c>
      <c r="J290" s="332" t="s">
        <v>1134</v>
      </c>
      <c r="K290" s="332" t="s">
        <v>936</v>
      </c>
      <c r="L290" s="1228">
        <v>2.75E-2</v>
      </c>
      <c r="M290" s="332" t="s">
        <v>1135</v>
      </c>
      <c r="N290" s="332" t="s">
        <v>127</v>
      </c>
      <c r="O290" s="1229">
        <v>2.3595999999999999E-2</v>
      </c>
      <c r="P290" s="332" t="s">
        <v>1198</v>
      </c>
      <c r="Q290" s="332" t="s">
        <v>1166</v>
      </c>
      <c r="R290" s="722"/>
      <c r="S290" s="722"/>
      <c r="T290" s="496">
        <v>3.5</v>
      </c>
      <c r="U290" s="496">
        <v>3.9</v>
      </c>
      <c r="V290" s="496">
        <v>3.6296205399999999</v>
      </c>
      <c r="W290" s="496">
        <v>3.1220479800000001</v>
      </c>
      <c r="X290" s="496">
        <v>2.7121406100000001</v>
      </c>
      <c r="Y290" s="496">
        <v>2.3703176699999999</v>
      </c>
      <c r="Z290" s="496">
        <v>2.0671241600000001</v>
      </c>
      <c r="AA290" s="496">
        <v>1.7993509200000002</v>
      </c>
      <c r="AB290" s="496">
        <v>1.5545046400000002</v>
      </c>
      <c r="AC290" s="496">
        <v>1.3085853900000002</v>
      </c>
    </row>
    <row r="291" spans="2:29" outlineLevel="1">
      <c r="B291" s="324" t="s">
        <v>701</v>
      </c>
      <c r="C291" s="332" t="s">
        <v>1337</v>
      </c>
      <c r="D291" s="332">
        <v>44321</v>
      </c>
      <c r="E291" s="332">
        <v>49346</v>
      </c>
      <c r="F291" s="332" t="s">
        <v>1338</v>
      </c>
      <c r="G291" s="332" t="s">
        <v>138</v>
      </c>
      <c r="H291" s="332" t="s">
        <v>138</v>
      </c>
      <c r="I291" s="1228">
        <v>25</v>
      </c>
      <c r="J291" s="332" t="s">
        <v>1134</v>
      </c>
      <c r="K291" s="332" t="s">
        <v>936</v>
      </c>
      <c r="L291" s="1228">
        <v>2.75E-2</v>
      </c>
      <c r="M291" s="332" t="s">
        <v>1135</v>
      </c>
      <c r="N291" s="332" t="s">
        <v>127</v>
      </c>
      <c r="O291" s="1229">
        <v>2.3458E-2</v>
      </c>
      <c r="P291" s="332" t="s">
        <v>1198</v>
      </c>
      <c r="Q291" s="332" t="s">
        <v>1163</v>
      </c>
      <c r="R291" s="722"/>
      <c r="S291" s="722"/>
      <c r="T291" s="496">
        <v>3.5</v>
      </c>
      <c r="U291" s="496">
        <v>3.9</v>
      </c>
      <c r="V291" s="496">
        <v>3.63306109</v>
      </c>
      <c r="W291" s="496">
        <v>3.1289479899999999</v>
      </c>
      <c r="X291" s="496">
        <v>2.7224906099999999</v>
      </c>
      <c r="Y291" s="496">
        <v>2.3841176699999997</v>
      </c>
      <c r="Z291" s="496">
        <v>2.0843741699999998</v>
      </c>
      <c r="AA291" s="496">
        <v>1.8200603899999996</v>
      </c>
      <c r="AB291" s="496">
        <v>1.5786641199999996</v>
      </c>
      <c r="AC291" s="496">
        <v>1.3361948799999996</v>
      </c>
    </row>
    <row r="292" spans="2:29" outlineLevel="1">
      <c r="B292" s="324" t="s">
        <v>702</v>
      </c>
      <c r="C292" s="332" t="s">
        <v>1339</v>
      </c>
      <c r="D292" s="332">
        <v>44321</v>
      </c>
      <c r="E292" s="332">
        <v>51243</v>
      </c>
      <c r="F292" s="332" t="s">
        <v>1340</v>
      </c>
      <c r="G292" s="332" t="s">
        <v>138</v>
      </c>
      <c r="H292" s="332" t="s">
        <v>138</v>
      </c>
      <c r="I292" s="1228">
        <v>25</v>
      </c>
      <c r="J292" s="332" t="s">
        <v>1134</v>
      </c>
      <c r="K292" s="332" t="s">
        <v>936</v>
      </c>
      <c r="L292" s="1228">
        <v>0.02</v>
      </c>
      <c r="M292" s="332" t="s">
        <v>1135</v>
      </c>
      <c r="N292" s="332" t="s">
        <v>127</v>
      </c>
      <c r="O292" s="1229">
        <v>1.6615999999999999E-2</v>
      </c>
      <c r="P292" s="332" t="s">
        <v>1198</v>
      </c>
      <c r="Q292" s="332" t="s">
        <v>1166</v>
      </c>
      <c r="R292" s="722"/>
      <c r="S292" s="722"/>
      <c r="T292" s="496">
        <v>4.4000000000000004</v>
      </c>
      <c r="U292" s="496">
        <v>4.7</v>
      </c>
      <c r="V292" s="496">
        <v>4.3947552000000005</v>
      </c>
      <c r="W292" s="496">
        <v>3.8839474600000008</v>
      </c>
      <c r="X292" s="496">
        <v>3.4650530300000009</v>
      </c>
      <c r="Y292" s="496">
        <v>3.1124842900000007</v>
      </c>
      <c r="Z292" s="496">
        <v>2.7963045600000007</v>
      </c>
      <c r="AA292" s="496">
        <v>2.5150413500000006</v>
      </c>
      <c r="AB292" s="496">
        <v>2.2608111100000006</v>
      </c>
      <c r="AC292" s="496">
        <v>2.0020503200000004</v>
      </c>
    </row>
    <row r="293" spans="2:29" outlineLevel="1">
      <c r="B293" s="324" t="s">
        <v>703</v>
      </c>
      <c r="C293" s="332" t="s">
        <v>1341</v>
      </c>
      <c r="D293" s="332">
        <v>44321</v>
      </c>
      <c r="E293" s="332">
        <v>46546</v>
      </c>
      <c r="F293" s="332" t="s">
        <v>1342</v>
      </c>
      <c r="G293" s="332" t="s">
        <v>138</v>
      </c>
      <c r="H293" s="332" t="s">
        <v>138</v>
      </c>
      <c r="I293" s="1228">
        <v>21.5</v>
      </c>
      <c r="J293" s="332" t="s">
        <v>1134</v>
      </c>
      <c r="K293" s="332" t="s">
        <v>936</v>
      </c>
      <c r="L293" s="1228">
        <v>0.04</v>
      </c>
      <c r="M293" s="332" t="s">
        <v>1135</v>
      </c>
      <c r="N293" s="332" t="s">
        <v>127</v>
      </c>
      <c r="O293" s="1229">
        <v>1.7975000000000001E-2</v>
      </c>
      <c r="P293" s="332" t="s">
        <v>1198</v>
      </c>
      <c r="Q293" s="332" t="s">
        <v>1166</v>
      </c>
      <c r="R293" s="722"/>
      <c r="S293" s="722"/>
      <c r="T293" s="496">
        <v>-0.9</v>
      </c>
      <c r="U293" s="496">
        <v>-0.5</v>
      </c>
      <c r="V293" s="496">
        <v>-0.3518114</v>
      </c>
      <c r="W293" s="496">
        <v>-0.38775932000000002</v>
      </c>
      <c r="X293" s="496">
        <v>-0.35040002000000003</v>
      </c>
      <c r="Y293" s="496">
        <v>-0.25478373000000004</v>
      </c>
      <c r="Z293" s="496">
        <v>0</v>
      </c>
      <c r="AA293" s="496">
        <v>0</v>
      </c>
      <c r="AB293" s="496">
        <v>0</v>
      </c>
      <c r="AC293" s="496">
        <v>0</v>
      </c>
    </row>
    <row r="294" spans="2:29" outlineLevel="1">
      <c r="B294" s="324" t="s">
        <v>704</v>
      </c>
      <c r="C294" s="332" t="s">
        <v>1343</v>
      </c>
      <c r="D294" s="332">
        <v>44321</v>
      </c>
      <c r="E294" s="332">
        <v>46546</v>
      </c>
      <c r="F294" s="332" t="s">
        <v>1344</v>
      </c>
      <c r="G294" s="332" t="s">
        <v>138</v>
      </c>
      <c r="H294" s="332" t="s">
        <v>138</v>
      </c>
      <c r="I294" s="1228">
        <v>15</v>
      </c>
      <c r="J294" s="332" t="s">
        <v>1134</v>
      </c>
      <c r="K294" s="332" t="s">
        <v>936</v>
      </c>
      <c r="L294" s="1228">
        <v>0.04</v>
      </c>
      <c r="M294" s="332" t="s">
        <v>1135</v>
      </c>
      <c r="N294" s="332" t="s">
        <v>127</v>
      </c>
      <c r="O294" s="1229">
        <v>1.6049999999999998E-2</v>
      </c>
      <c r="P294" s="332" t="s">
        <v>1198</v>
      </c>
      <c r="Q294" s="332" t="s">
        <v>1142</v>
      </c>
      <c r="R294" s="722"/>
      <c r="S294" s="722"/>
      <c r="T294" s="496">
        <v>-0.8</v>
      </c>
      <c r="U294" s="496">
        <v>-0.5</v>
      </c>
      <c r="V294" s="496">
        <v>-0.36781671999999999</v>
      </c>
      <c r="W294" s="496">
        <v>-0.36394255999999997</v>
      </c>
      <c r="X294" s="496">
        <v>-0.30900292999999995</v>
      </c>
      <c r="Y294" s="496">
        <v>-0.21341889999999997</v>
      </c>
      <c r="Z294" s="496">
        <v>0</v>
      </c>
      <c r="AA294" s="496">
        <v>0</v>
      </c>
      <c r="AB294" s="496">
        <v>0</v>
      </c>
      <c r="AC294" s="496">
        <v>0</v>
      </c>
    </row>
    <row r="295" spans="2:29" outlineLevel="1">
      <c r="B295" s="324" t="s">
        <v>705</v>
      </c>
      <c r="C295" s="332" t="s">
        <v>1345</v>
      </c>
      <c r="D295" s="332">
        <v>44321</v>
      </c>
      <c r="E295" s="332">
        <v>46546</v>
      </c>
      <c r="F295" s="332" t="s">
        <v>1346</v>
      </c>
      <c r="G295" s="332" t="s">
        <v>138</v>
      </c>
      <c r="H295" s="332" t="s">
        <v>138</v>
      </c>
      <c r="I295" s="1228">
        <v>43</v>
      </c>
      <c r="J295" s="332" t="s">
        <v>1134</v>
      </c>
      <c r="K295" s="332" t="s">
        <v>936</v>
      </c>
      <c r="L295" s="1228">
        <v>0.04</v>
      </c>
      <c r="M295" s="332" t="s">
        <v>1135</v>
      </c>
      <c r="N295" s="332" t="s">
        <v>127</v>
      </c>
      <c r="O295" s="1229">
        <v>1.5945999999999998E-2</v>
      </c>
      <c r="P295" s="332" t="s">
        <v>1198</v>
      </c>
      <c r="Q295" s="332" t="s">
        <v>1142</v>
      </c>
      <c r="R295" s="722"/>
      <c r="S295" s="722"/>
      <c r="T295" s="496">
        <v>-2.2999999999999998</v>
      </c>
      <c r="U295" s="496">
        <v>-1.4999999999999998</v>
      </c>
      <c r="V295" s="496">
        <v>-1.1166148199999997</v>
      </c>
      <c r="W295" s="496">
        <v>-1.1010246199999996</v>
      </c>
      <c r="X295" s="496">
        <v>-0.93905900999999958</v>
      </c>
      <c r="Y295" s="496">
        <v>-0.66057942999999963</v>
      </c>
      <c r="Z295" s="496">
        <v>0</v>
      </c>
      <c r="AA295" s="496">
        <v>0</v>
      </c>
      <c r="AB295" s="496">
        <v>0</v>
      </c>
      <c r="AC295" s="496">
        <v>0</v>
      </c>
    </row>
    <row r="296" spans="2:29" outlineLevel="1">
      <c r="B296" s="324" t="s">
        <v>706</v>
      </c>
      <c r="C296" s="332" t="s">
        <v>1347</v>
      </c>
      <c r="D296" s="332">
        <v>44321</v>
      </c>
      <c r="E296" s="332">
        <v>46546</v>
      </c>
      <c r="F296" s="332" t="s">
        <v>1348</v>
      </c>
      <c r="G296" s="332" t="s">
        <v>138</v>
      </c>
      <c r="H296" s="332" t="s">
        <v>138</v>
      </c>
      <c r="I296" s="1228">
        <v>10.75</v>
      </c>
      <c r="J296" s="332" t="s">
        <v>1134</v>
      </c>
      <c r="K296" s="332" t="s">
        <v>936</v>
      </c>
      <c r="L296" s="1228">
        <v>0.04</v>
      </c>
      <c r="M296" s="332" t="s">
        <v>1135</v>
      </c>
      <c r="N296" s="332" t="s">
        <v>127</v>
      </c>
      <c r="O296" s="1229">
        <v>1.822E-2</v>
      </c>
      <c r="P296" s="332" t="s">
        <v>1198</v>
      </c>
      <c r="Q296" s="332" t="s">
        <v>1142</v>
      </c>
      <c r="R296" s="722"/>
      <c r="S296" s="722"/>
      <c r="T296" s="496">
        <v>-0.4</v>
      </c>
      <c r="U296" s="496">
        <v>-0.2</v>
      </c>
      <c r="V296" s="496">
        <v>-0.12853224000000002</v>
      </c>
      <c r="W296" s="496">
        <v>-0.14914717000000002</v>
      </c>
      <c r="X296" s="496">
        <v>-0.13310127000000002</v>
      </c>
      <c r="Y296" s="496">
        <v>-8.7926870000000018E-2</v>
      </c>
      <c r="Z296" s="496">
        <v>0</v>
      </c>
      <c r="AA296" s="496">
        <v>0</v>
      </c>
      <c r="AB296" s="496">
        <v>0</v>
      </c>
      <c r="AC296" s="496">
        <v>0</v>
      </c>
    </row>
    <row r="297" spans="2:29" outlineLevel="1">
      <c r="B297" s="324" t="s">
        <v>707</v>
      </c>
      <c r="C297" s="332" t="s">
        <v>1349</v>
      </c>
      <c r="D297" s="332">
        <v>44321</v>
      </c>
      <c r="E297" s="332">
        <v>46546</v>
      </c>
      <c r="F297" s="332" t="s">
        <v>1350</v>
      </c>
      <c r="G297" s="332" t="s">
        <v>138</v>
      </c>
      <c r="H297" s="332" t="s">
        <v>138</v>
      </c>
      <c r="I297" s="1228">
        <v>21.5</v>
      </c>
      <c r="J297" s="332" t="s">
        <v>1134</v>
      </c>
      <c r="K297" s="332" t="s">
        <v>936</v>
      </c>
      <c r="L297" s="1228">
        <v>0.04</v>
      </c>
      <c r="M297" s="332" t="s">
        <v>1135</v>
      </c>
      <c r="N297" s="332" t="s">
        <v>127</v>
      </c>
      <c r="O297" s="1229">
        <v>1.8872E-2</v>
      </c>
      <c r="P297" s="332" t="s">
        <v>1198</v>
      </c>
      <c r="Q297" s="332" t="s">
        <v>1142</v>
      </c>
      <c r="R297" s="722"/>
      <c r="S297" s="722"/>
      <c r="T297" s="496">
        <v>-0.8</v>
      </c>
      <c r="U297" s="496">
        <v>-0.5</v>
      </c>
      <c r="V297" s="496">
        <v>-0.37104406000000001</v>
      </c>
      <c r="W297" s="496">
        <v>-0.42633032000000004</v>
      </c>
      <c r="X297" s="496">
        <v>-0.40825652000000001</v>
      </c>
      <c r="Y297" s="496">
        <v>-0.33192573000000003</v>
      </c>
      <c r="Z297" s="496">
        <v>0</v>
      </c>
      <c r="AA297" s="496">
        <v>0</v>
      </c>
      <c r="AB297" s="496">
        <v>0</v>
      </c>
      <c r="AC297" s="496">
        <v>0</v>
      </c>
    </row>
    <row r="298" spans="2:29" outlineLevel="1">
      <c r="B298" s="324" t="s">
        <v>708</v>
      </c>
      <c r="C298" s="332" t="s">
        <v>1351</v>
      </c>
      <c r="D298" s="332">
        <v>44321</v>
      </c>
      <c r="E298" s="332">
        <v>46281</v>
      </c>
      <c r="F298" s="332" t="s">
        <v>1352</v>
      </c>
      <c r="G298" s="332" t="s">
        <v>138</v>
      </c>
      <c r="H298" s="332" t="s">
        <v>138</v>
      </c>
      <c r="I298" s="1228">
        <v>35</v>
      </c>
      <c r="J298" s="332" t="s">
        <v>1134</v>
      </c>
      <c r="K298" s="332" t="s">
        <v>936</v>
      </c>
      <c r="L298" s="1228">
        <v>1.375E-2</v>
      </c>
      <c r="M298" s="332" t="s">
        <v>1135</v>
      </c>
      <c r="N298" s="332" t="s">
        <v>127</v>
      </c>
      <c r="O298" s="1229">
        <v>1.3471E-2</v>
      </c>
      <c r="P298" s="332" t="s">
        <v>1198</v>
      </c>
      <c r="Q298" s="332" t="s">
        <v>1142</v>
      </c>
      <c r="R298" s="722"/>
      <c r="S298" s="722"/>
      <c r="T298" s="496">
        <v>2.6</v>
      </c>
      <c r="U298" s="496">
        <v>2.6</v>
      </c>
      <c r="V298" s="496">
        <v>2.0802841399999998</v>
      </c>
      <c r="W298" s="496">
        <v>1.2394103599999999</v>
      </c>
      <c r="X298" s="496">
        <v>0.54285507999999993</v>
      </c>
      <c r="Y298" s="496">
        <v>0</v>
      </c>
      <c r="Z298" s="496">
        <v>0</v>
      </c>
      <c r="AA298" s="496">
        <v>0</v>
      </c>
      <c r="AB298" s="496">
        <v>0</v>
      </c>
      <c r="AC298" s="496">
        <v>0</v>
      </c>
    </row>
    <row r="299" spans="2:29" outlineLevel="1">
      <c r="B299" s="324" t="s">
        <v>709</v>
      </c>
      <c r="C299" s="332" t="s">
        <v>1353</v>
      </c>
      <c r="D299" s="332">
        <v>44321</v>
      </c>
      <c r="E299" s="332">
        <v>46281</v>
      </c>
      <c r="F299" s="332" t="s">
        <v>1352</v>
      </c>
      <c r="G299" s="332" t="s">
        <v>138</v>
      </c>
      <c r="H299" s="332" t="s">
        <v>138</v>
      </c>
      <c r="I299" s="1228">
        <v>35</v>
      </c>
      <c r="J299" s="332" t="s">
        <v>1134</v>
      </c>
      <c r="K299" s="332" t="s">
        <v>936</v>
      </c>
      <c r="L299" s="1228">
        <v>1.375E-2</v>
      </c>
      <c r="M299" s="332" t="s">
        <v>1135</v>
      </c>
      <c r="N299" s="332" t="s">
        <v>127</v>
      </c>
      <c r="O299" s="1229">
        <v>1.3517E-2</v>
      </c>
      <c r="P299" s="332" t="s">
        <v>1198</v>
      </c>
      <c r="Q299" s="332" t="s">
        <v>1163</v>
      </c>
      <c r="R299" s="722"/>
      <c r="S299" s="722"/>
      <c r="T299" s="496">
        <v>2.6</v>
      </c>
      <c r="U299" s="496">
        <v>2.6</v>
      </c>
      <c r="V299" s="496">
        <v>2.0786785400000003</v>
      </c>
      <c r="W299" s="496">
        <v>1.2361903500000002</v>
      </c>
      <c r="X299" s="496">
        <v>0.53802507000000022</v>
      </c>
      <c r="Y299" s="496">
        <v>0</v>
      </c>
      <c r="Z299" s="496">
        <v>0</v>
      </c>
      <c r="AA299" s="496">
        <v>0</v>
      </c>
      <c r="AB299" s="496">
        <v>0</v>
      </c>
      <c r="AC299" s="496">
        <v>0</v>
      </c>
    </row>
    <row r="300" spans="2:29" outlineLevel="1">
      <c r="B300" s="324" t="s">
        <v>710</v>
      </c>
      <c r="C300" s="332" t="s">
        <v>1354</v>
      </c>
      <c r="D300" s="332">
        <v>44358</v>
      </c>
      <c r="E300" s="332">
        <v>50664</v>
      </c>
      <c r="F300" s="332" t="s">
        <v>1355</v>
      </c>
      <c r="G300" s="332" t="s">
        <v>138</v>
      </c>
      <c r="H300" s="332" t="s">
        <v>138</v>
      </c>
      <c r="I300" s="1228">
        <v>30</v>
      </c>
      <c r="J300" s="332" t="s">
        <v>1134</v>
      </c>
      <c r="K300" s="332" t="s">
        <v>936</v>
      </c>
      <c r="L300" s="1228">
        <v>0.02</v>
      </c>
      <c r="M300" s="332" t="s">
        <v>1135</v>
      </c>
      <c r="N300" s="332" t="s">
        <v>127</v>
      </c>
      <c r="O300" s="1229">
        <v>1.47E-2</v>
      </c>
      <c r="P300" s="332" t="s">
        <v>1198</v>
      </c>
      <c r="Q300" s="332" t="s">
        <v>1137</v>
      </c>
      <c r="R300" s="722"/>
      <c r="S300" s="722"/>
      <c r="T300" s="496">
        <v>4.0999999999999996</v>
      </c>
      <c r="U300" s="496">
        <v>4.1999999999999993</v>
      </c>
      <c r="V300" s="496">
        <v>3.9047465699999995</v>
      </c>
      <c r="W300" s="496">
        <v>3.3348330899999996</v>
      </c>
      <c r="X300" s="496">
        <v>2.8880396299999997</v>
      </c>
      <c r="Y300" s="496">
        <v>2.5223689199999999</v>
      </c>
      <c r="Z300" s="496">
        <v>2.2002887499999999</v>
      </c>
      <c r="AA300" s="496">
        <v>1.92149149</v>
      </c>
      <c r="AB300" s="496">
        <v>1.6725188600000001</v>
      </c>
      <c r="AC300" s="496">
        <v>1.4196992000000002</v>
      </c>
    </row>
    <row r="301" spans="2:29" outlineLevel="1">
      <c r="B301" s="324" t="s">
        <v>711</v>
      </c>
      <c r="C301" s="332" t="s">
        <v>1356</v>
      </c>
      <c r="D301" s="332">
        <v>44358</v>
      </c>
      <c r="E301" s="332">
        <v>50664</v>
      </c>
      <c r="F301" s="332" t="s">
        <v>1357</v>
      </c>
      <c r="G301" s="332" t="s">
        <v>138</v>
      </c>
      <c r="H301" s="332" t="s">
        <v>138</v>
      </c>
      <c r="I301" s="1228">
        <v>30</v>
      </c>
      <c r="J301" s="332" t="s">
        <v>1134</v>
      </c>
      <c r="K301" s="332" t="s">
        <v>936</v>
      </c>
      <c r="L301" s="1228">
        <v>0.02</v>
      </c>
      <c r="M301" s="332" t="s">
        <v>1135</v>
      </c>
      <c r="N301" s="332" t="s">
        <v>127</v>
      </c>
      <c r="O301" s="1229">
        <v>1.2383E-2</v>
      </c>
      <c r="P301" s="332" t="s">
        <v>1198</v>
      </c>
      <c r="Q301" s="332" t="s">
        <v>1163</v>
      </c>
      <c r="R301" s="722"/>
      <c r="S301" s="722"/>
      <c r="T301" s="496">
        <v>3.1</v>
      </c>
      <c r="U301" s="496">
        <v>3.2</v>
      </c>
      <c r="V301" s="496">
        <v>2.9740661400000001</v>
      </c>
      <c r="W301" s="496">
        <v>2.4738530900000004</v>
      </c>
      <c r="X301" s="496">
        <v>2.0965696300000003</v>
      </c>
      <c r="Y301" s="496">
        <v>1.8004089200000002</v>
      </c>
      <c r="Z301" s="496">
        <v>1.5478387600000003</v>
      </c>
      <c r="AA301" s="496">
        <v>1.3387419400000002</v>
      </c>
      <c r="AB301" s="496">
        <v>1.1592793100000003</v>
      </c>
      <c r="AC301" s="496">
        <v>0.97596965000000024</v>
      </c>
    </row>
    <row r="302" spans="2:29" outlineLevel="1">
      <c r="B302" s="324" t="s">
        <v>712</v>
      </c>
      <c r="C302" s="332" t="s">
        <v>1358</v>
      </c>
      <c r="D302" s="332">
        <v>44358</v>
      </c>
      <c r="E302" s="332">
        <v>50664</v>
      </c>
      <c r="F302" s="332" t="s">
        <v>1359</v>
      </c>
      <c r="G302" s="332" t="s">
        <v>138</v>
      </c>
      <c r="H302" s="332" t="s">
        <v>138</v>
      </c>
      <c r="I302" s="1228">
        <v>25</v>
      </c>
      <c r="J302" s="332" t="s">
        <v>1134</v>
      </c>
      <c r="K302" s="332" t="s">
        <v>936</v>
      </c>
      <c r="L302" s="1228">
        <v>0.02</v>
      </c>
      <c r="M302" s="332" t="s">
        <v>1135</v>
      </c>
      <c r="N302" s="332" t="s">
        <v>127</v>
      </c>
      <c r="O302" s="1229">
        <v>1.6018000000000001E-2</v>
      </c>
      <c r="P302" s="332" t="s">
        <v>1198</v>
      </c>
      <c r="Q302" s="332" t="s">
        <v>1279</v>
      </c>
      <c r="R302" s="722"/>
      <c r="S302" s="722"/>
      <c r="T302" s="496">
        <v>3.8</v>
      </c>
      <c r="U302" s="496">
        <v>3.8</v>
      </c>
      <c r="V302" s="496">
        <v>3.5210957599999997</v>
      </c>
      <c r="W302" s="496">
        <v>3.0131275899999999</v>
      </c>
      <c r="X302" s="496">
        <v>2.60784971</v>
      </c>
      <c r="Y302" s="496">
        <v>2.27017413</v>
      </c>
      <c r="Z302" s="496">
        <v>1.96882399</v>
      </c>
      <c r="AA302" s="496">
        <v>1.7034526699999999</v>
      </c>
      <c r="AB302" s="496">
        <v>1.4630254699999998</v>
      </c>
      <c r="AC302" s="496">
        <v>1.2193924099999998</v>
      </c>
    </row>
    <row r="303" spans="2:29" outlineLevel="1">
      <c r="B303" s="324" t="s">
        <v>713</v>
      </c>
      <c r="C303" s="332" t="s">
        <v>1360</v>
      </c>
      <c r="D303" s="332">
        <v>44358</v>
      </c>
      <c r="E303" s="332">
        <v>50664</v>
      </c>
      <c r="F303" s="332" t="s">
        <v>1359</v>
      </c>
      <c r="G303" s="332" t="s">
        <v>138</v>
      </c>
      <c r="H303" s="332" t="s">
        <v>138</v>
      </c>
      <c r="I303" s="1228">
        <v>25</v>
      </c>
      <c r="J303" s="332" t="s">
        <v>1134</v>
      </c>
      <c r="K303" s="332" t="s">
        <v>936</v>
      </c>
      <c r="L303" s="1228">
        <v>0.02</v>
      </c>
      <c r="M303" s="332" t="s">
        <v>1135</v>
      </c>
      <c r="N303" s="332" t="s">
        <v>127</v>
      </c>
      <c r="O303" s="1229">
        <v>1.5994999999999999E-2</v>
      </c>
      <c r="P303" s="332" t="s">
        <v>1198</v>
      </c>
      <c r="Q303" s="332" t="s">
        <v>1160</v>
      </c>
      <c r="R303" s="722"/>
      <c r="S303" s="722"/>
      <c r="T303" s="496">
        <v>3.9</v>
      </c>
      <c r="U303" s="496">
        <v>3.9</v>
      </c>
      <c r="V303" s="496">
        <v>3.6216691699999997</v>
      </c>
      <c r="W303" s="496">
        <v>3.1142775699999996</v>
      </c>
      <c r="X303" s="496">
        <v>2.7095746899999997</v>
      </c>
      <c r="Y303" s="496">
        <v>2.3724740999999998</v>
      </c>
      <c r="Z303" s="496">
        <v>2.07169896</v>
      </c>
      <c r="AA303" s="496">
        <v>1.8069042099999999</v>
      </c>
      <c r="AB303" s="496">
        <v>1.5670520099999998</v>
      </c>
      <c r="AC303" s="496">
        <v>1.3239939499999998</v>
      </c>
    </row>
    <row r="304" spans="2:29" outlineLevel="1">
      <c r="B304" s="324" t="s">
        <v>714</v>
      </c>
      <c r="C304" s="332" t="s">
        <v>1361</v>
      </c>
      <c r="D304" s="332">
        <v>44379</v>
      </c>
      <c r="E304" s="332">
        <v>45324</v>
      </c>
      <c r="F304" s="332" t="s">
        <v>1362</v>
      </c>
      <c r="G304" s="332" t="s">
        <v>138</v>
      </c>
      <c r="H304" s="332" t="s">
        <v>138</v>
      </c>
      <c r="I304" s="1228">
        <v>20</v>
      </c>
      <c r="J304" s="332" t="s">
        <v>1134</v>
      </c>
      <c r="K304" s="332" t="s">
        <v>936</v>
      </c>
      <c r="L304" s="1228">
        <v>5.8749999999999997E-2</v>
      </c>
      <c r="M304" s="332" t="s">
        <v>1135</v>
      </c>
      <c r="N304" s="332" t="s">
        <v>127</v>
      </c>
      <c r="O304" s="1229">
        <v>1.4094000000000001E-2</v>
      </c>
      <c r="P304" s="332" t="s">
        <v>1198</v>
      </c>
      <c r="Q304" s="332" t="s">
        <v>155</v>
      </c>
      <c r="R304" s="722"/>
      <c r="S304" s="722"/>
      <c r="T304" s="496">
        <v>-1</v>
      </c>
      <c r="U304" s="496">
        <v>0.19999999999999996</v>
      </c>
      <c r="V304" s="496">
        <v>0</v>
      </c>
      <c r="W304" s="496">
        <v>0</v>
      </c>
      <c r="X304" s="496">
        <v>0</v>
      </c>
      <c r="Y304" s="496">
        <v>0</v>
      </c>
      <c r="Z304" s="496">
        <v>0</v>
      </c>
      <c r="AA304" s="496">
        <v>0</v>
      </c>
      <c r="AB304" s="496">
        <v>0</v>
      </c>
      <c r="AC304" s="496">
        <v>0</v>
      </c>
    </row>
    <row r="305" spans="2:29" outlineLevel="1">
      <c r="B305" s="324" t="s">
        <v>715</v>
      </c>
      <c r="C305" s="332" t="s">
        <v>1363</v>
      </c>
      <c r="D305" s="332">
        <v>44379</v>
      </c>
      <c r="E305" s="332">
        <v>45324</v>
      </c>
      <c r="F305" s="332" t="s">
        <v>1364</v>
      </c>
      <c r="G305" s="332" t="s">
        <v>138</v>
      </c>
      <c r="H305" s="332" t="s">
        <v>138</v>
      </c>
      <c r="I305" s="1228">
        <v>75</v>
      </c>
      <c r="J305" s="332" t="s">
        <v>1134</v>
      </c>
      <c r="K305" s="332" t="s">
        <v>936</v>
      </c>
      <c r="L305" s="1228">
        <v>5.8749999999999997E-2</v>
      </c>
      <c r="M305" s="332" t="s">
        <v>1135</v>
      </c>
      <c r="N305" s="332" t="s">
        <v>127</v>
      </c>
      <c r="O305" s="1229">
        <v>1.9601E-2</v>
      </c>
      <c r="P305" s="332" t="s">
        <v>1198</v>
      </c>
      <c r="Q305" s="332" t="s">
        <v>1255</v>
      </c>
      <c r="R305" s="722"/>
      <c r="S305" s="722"/>
      <c r="T305" s="496">
        <v>-3</v>
      </c>
      <c r="U305" s="496">
        <v>1.0999999999999996</v>
      </c>
      <c r="V305" s="496">
        <v>0</v>
      </c>
      <c r="W305" s="496">
        <v>0</v>
      </c>
      <c r="X305" s="496">
        <v>0</v>
      </c>
      <c r="Y305" s="496">
        <v>0</v>
      </c>
      <c r="Z305" s="496">
        <v>0</v>
      </c>
      <c r="AA305" s="496">
        <v>0</v>
      </c>
      <c r="AB305" s="496">
        <v>0</v>
      </c>
      <c r="AC305" s="496">
        <v>0</v>
      </c>
    </row>
    <row r="306" spans="2:29" outlineLevel="1">
      <c r="B306" s="324" t="s">
        <v>716</v>
      </c>
      <c r="C306" s="332" t="s">
        <v>1365</v>
      </c>
      <c r="D306" s="332">
        <v>44379</v>
      </c>
      <c r="E306" s="332">
        <v>45324</v>
      </c>
      <c r="F306" s="332" t="s">
        <v>1366</v>
      </c>
      <c r="G306" s="332" t="s">
        <v>138</v>
      </c>
      <c r="H306" s="332" t="s">
        <v>138</v>
      </c>
      <c r="I306" s="1228">
        <v>40</v>
      </c>
      <c r="J306" s="332" t="s">
        <v>1258</v>
      </c>
      <c r="K306" s="332" t="s">
        <v>127</v>
      </c>
      <c r="L306" s="1228">
        <v>1.9924000000000001E-2</v>
      </c>
      <c r="M306" s="332" t="s">
        <v>1198</v>
      </c>
      <c r="N306" s="332" t="s">
        <v>936</v>
      </c>
      <c r="O306" s="1229">
        <v>5.8749999999999997E-2</v>
      </c>
      <c r="P306" s="332" t="s">
        <v>1135</v>
      </c>
      <c r="Q306" s="332" t="s">
        <v>1163</v>
      </c>
      <c r="R306" s="722"/>
      <c r="S306" s="722"/>
      <c r="T306" s="496">
        <v>1.6</v>
      </c>
      <c r="U306" s="496">
        <v>-0.60000000000000009</v>
      </c>
      <c r="V306" s="496">
        <v>0</v>
      </c>
      <c r="W306" s="496">
        <v>0</v>
      </c>
      <c r="X306" s="496">
        <v>0</v>
      </c>
      <c r="Y306" s="496">
        <v>0</v>
      </c>
      <c r="Z306" s="496">
        <v>0</v>
      </c>
      <c r="AA306" s="496">
        <v>0</v>
      </c>
      <c r="AB306" s="496">
        <v>0</v>
      </c>
      <c r="AC306" s="496">
        <v>0</v>
      </c>
    </row>
    <row r="307" spans="2:29" outlineLevel="1">
      <c r="B307" s="324" t="s">
        <v>717</v>
      </c>
      <c r="C307" s="332" t="s">
        <v>1367</v>
      </c>
      <c r="D307" s="332">
        <v>44379</v>
      </c>
      <c r="E307" s="332">
        <v>45324</v>
      </c>
      <c r="F307" s="332" t="s">
        <v>1368</v>
      </c>
      <c r="G307" s="332" t="s">
        <v>138</v>
      </c>
      <c r="H307" s="332" t="s">
        <v>138</v>
      </c>
      <c r="I307" s="1228">
        <v>28</v>
      </c>
      <c r="J307" s="332" t="s">
        <v>1134</v>
      </c>
      <c r="K307" s="332" t="s">
        <v>936</v>
      </c>
      <c r="L307" s="1228">
        <v>5.8749999999999997E-2</v>
      </c>
      <c r="M307" s="332" t="s">
        <v>1135</v>
      </c>
      <c r="N307" s="332" t="s">
        <v>127</v>
      </c>
      <c r="O307" s="1229">
        <v>2.6769000000000001E-2</v>
      </c>
      <c r="P307" s="332" t="s">
        <v>1198</v>
      </c>
      <c r="Q307" s="332" t="s">
        <v>155</v>
      </c>
      <c r="R307" s="722"/>
      <c r="S307" s="722"/>
      <c r="T307" s="496">
        <v>-0.7</v>
      </c>
      <c r="U307" s="496">
        <v>0.7</v>
      </c>
      <c r="V307" s="496">
        <v>0</v>
      </c>
      <c r="W307" s="496">
        <v>0</v>
      </c>
      <c r="X307" s="496">
        <v>0</v>
      </c>
      <c r="Y307" s="496">
        <v>0</v>
      </c>
      <c r="Z307" s="496">
        <v>0</v>
      </c>
      <c r="AA307" s="496">
        <v>0</v>
      </c>
      <c r="AB307" s="496">
        <v>0</v>
      </c>
      <c r="AC307" s="496">
        <v>0</v>
      </c>
    </row>
    <row r="308" spans="2:29" outlineLevel="1">
      <c r="B308" s="324" t="s">
        <v>718</v>
      </c>
      <c r="C308" s="332" t="s">
        <v>1369</v>
      </c>
      <c r="D308" s="332">
        <v>44545</v>
      </c>
      <c r="E308" s="332">
        <v>46362</v>
      </c>
      <c r="F308" s="332" t="s">
        <v>1370</v>
      </c>
      <c r="G308" s="332" t="s">
        <v>138</v>
      </c>
      <c r="H308" s="332" t="s">
        <v>138</v>
      </c>
      <c r="I308" s="1228">
        <v>100</v>
      </c>
      <c r="J308" s="332" t="s">
        <v>1134</v>
      </c>
      <c r="K308" s="332" t="s">
        <v>127</v>
      </c>
      <c r="L308" s="1228">
        <v>1.0045999999999999E-2</v>
      </c>
      <c r="M308" s="332" t="s">
        <v>1198</v>
      </c>
      <c r="N308" s="332" t="s">
        <v>936</v>
      </c>
      <c r="O308" s="1229">
        <v>2.0760000000000001E-2</v>
      </c>
      <c r="P308" s="332" t="s">
        <v>1135</v>
      </c>
      <c r="Q308" s="332" t="s">
        <v>1282</v>
      </c>
      <c r="R308" s="722"/>
      <c r="S308" s="722"/>
      <c r="T308" s="496">
        <v>-3.7</v>
      </c>
      <c r="U308" s="496">
        <v>-3.7</v>
      </c>
      <c r="V308" s="496">
        <v>-3.1510364400000004</v>
      </c>
      <c r="W308" s="496">
        <v>-1.8574904200000004</v>
      </c>
      <c r="X308" s="496">
        <v>-0.90548111000000031</v>
      </c>
      <c r="Y308" s="496">
        <v>0</v>
      </c>
      <c r="Z308" s="496">
        <v>0</v>
      </c>
      <c r="AA308" s="496">
        <v>0</v>
      </c>
      <c r="AB308" s="496">
        <v>0</v>
      </c>
      <c r="AC308" s="496">
        <v>0</v>
      </c>
    </row>
    <row r="309" spans="2:29" outlineLevel="1">
      <c r="B309" s="324" t="s">
        <v>719</v>
      </c>
      <c r="C309" s="332" t="s">
        <v>1371</v>
      </c>
      <c r="D309" s="332">
        <v>44545</v>
      </c>
      <c r="E309" s="332">
        <v>46961</v>
      </c>
      <c r="F309" s="332" t="s">
        <v>1372</v>
      </c>
      <c r="G309" s="332" t="s">
        <v>138</v>
      </c>
      <c r="H309" s="332" t="s">
        <v>138</v>
      </c>
      <c r="I309" s="1228">
        <v>100</v>
      </c>
      <c r="J309" s="332" t="s">
        <v>1134</v>
      </c>
      <c r="K309" s="332" t="s">
        <v>936</v>
      </c>
      <c r="L309" s="1228">
        <v>1.0444999999999999E-2</v>
      </c>
      <c r="M309" s="332" t="s">
        <v>1135</v>
      </c>
      <c r="N309" s="332" t="s">
        <v>127</v>
      </c>
      <c r="O309" s="1229">
        <v>1.0392E-2</v>
      </c>
      <c r="P309" s="332" t="s">
        <v>1198</v>
      </c>
      <c r="Q309" s="332" t="s">
        <v>1175</v>
      </c>
      <c r="R309" s="722"/>
      <c r="S309" s="722"/>
      <c r="T309" s="496">
        <v>10.1</v>
      </c>
      <c r="U309" s="496">
        <v>10.6</v>
      </c>
      <c r="V309" s="496">
        <v>9.1338575300000002</v>
      </c>
      <c r="W309" s="496">
        <v>6.7274752100000006</v>
      </c>
      <c r="X309" s="496">
        <v>4.7071911000000011</v>
      </c>
      <c r="Y309" s="496">
        <v>2.9540347800000011</v>
      </c>
      <c r="Z309" s="496">
        <v>1.3565435500000012</v>
      </c>
      <c r="AA309" s="496">
        <v>0</v>
      </c>
      <c r="AB309" s="496">
        <v>0</v>
      </c>
      <c r="AC309" s="496">
        <v>0</v>
      </c>
    </row>
    <row r="310" spans="2:29" outlineLevel="1">
      <c r="B310" s="324" t="s">
        <v>720</v>
      </c>
      <c r="C310" s="332" t="s">
        <v>1373</v>
      </c>
      <c r="D310" s="332">
        <v>44379</v>
      </c>
      <c r="E310" s="332">
        <v>46961</v>
      </c>
      <c r="F310" s="332" t="s">
        <v>1374</v>
      </c>
      <c r="G310" s="332" t="s">
        <v>138</v>
      </c>
      <c r="H310" s="332" t="s">
        <v>138</v>
      </c>
      <c r="I310" s="1228">
        <v>15</v>
      </c>
      <c r="J310" s="332" t="s">
        <v>1134</v>
      </c>
      <c r="K310" s="332" t="s">
        <v>936</v>
      </c>
      <c r="L310" s="1228">
        <v>6.5000000000000002E-2</v>
      </c>
      <c r="M310" s="332" t="s">
        <v>1135</v>
      </c>
      <c r="N310" s="332" t="s">
        <v>127</v>
      </c>
      <c r="O310" s="1229">
        <v>1.8359E-2</v>
      </c>
      <c r="P310" s="332" t="s">
        <v>1198</v>
      </c>
      <c r="Q310" s="332" t="s">
        <v>155</v>
      </c>
      <c r="R310" s="722"/>
      <c r="S310" s="722"/>
      <c r="T310" s="496">
        <v>-3.1</v>
      </c>
      <c r="U310" s="496">
        <v>-2.6</v>
      </c>
      <c r="V310" s="496">
        <v>-2.1230159500000001</v>
      </c>
      <c r="W310" s="496">
        <v>-1.78444621</v>
      </c>
      <c r="X310" s="496">
        <v>-1.3900165900000001</v>
      </c>
      <c r="Y310" s="496">
        <v>-0.95385677000000002</v>
      </c>
      <c r="Z310" s="496">
        <v>-0.49466046000000002</v>
      </c>
      <c r="AA310" s="496">
        <v>0</v>
      </c>
      <c r="AB310" s="496">
        <v>0</v>
      </c>
      <c r="AC310" s="496">
        <v>0</v>
      </c>
    </row>
    <row r="311" spans="2:29" outlineLevel="1">
      <c r="B311" s="324" t="s">
        <v>721</v>
      </c>
      <c r="C311" s="332" t="s">
        <v>1375</v>
      </c>
      <c r="D311" s="332">
        <v>44379</v>
      </c>
      <c r="E311" s="332">
        <v>46961</v>
      </c>
      <c r="F311" s="332" t="s">
        <v>1376</v>
      </c>
      <c r="G311" s="332" t="s">
        <v>138</v>
      </c>
      <c r="H311" s="332" t="s">
        <v>138</v>
      </c>
      <c r="I311" s="1228">
        <v>14</v>
      </c>
      <c r="J311" s="332" t="s">
        <v>1134</v>
      </c>
      <c r="K311" s="332" t="s">
        <v>936</v>
      </c>
      <c r="L311" s="1228">
        <v>6.5000000000000002E-2</v>
      </c>
      <c r="M311" s="332" t="s">
        <v>1135</v>
      </c>
      <c r="N311" s="332" t="s">
        <v>127</v>
      </c>
      <c r="O311" s="1229">
        <v>2.1663999999999999E-2</v>
      </c>
      <c r="P311" s="332" t="s">
        <v>1198</v>
      </c>
      <c r="Q311" s="332" t="s">
        <v>155</v>
      </c>
      <c r="R311" s="722"/>
      <c r="S311" s="722"/>
      <c r="T311" s="496">
        <v>-2.6</v>
      </c>
      <c r="U311" s="496">
        <v>-2.2000000000000002</v>
      </c>
      <c r="V311" s="496">
        <v>-1.8009581100000003</v>
      </c>
      <c r="W311" s="496">
        <v>-1.5313564500000003</v>
      </c>
      <c r="X311" s="496">
        <v>-1.2094921400000003</v>
      </c>
      <c r="Y311" s="496">
        <v>-0.84867965000000023</v>
      </c>
      <c r="Z311" s="496">
        <v>-0.46636642000000023</v>
      </c>
      <c r="AA311" s="496">
        <v>0</v>
      </c>
      <c r="AB311" s="496">
        <v>0</v>
      </c>
      <c r="AC311" s="496">
        <v>0</v>
      </c>
    </row>
    <row r="312" spans="2:29" outlineLevel="1">
      <c r="B312" s="324" t="s">
        <v>722</v>
      </c>
      <c r="C312" s="332" t="s">
        <v>1377</v>
      </c>
      <c r="D312" s="332">
        <v>44379</v>
      </c>
      <c r="E312" s="332">
        <v>46961</v>
      </c>
      <c r="F312" s="332" t="s">
        <v>1378</v>
      </c>
      <c r="G312" s="332" t="s">
        <v>138</v>
      </c>
      <c r="H312" s="332" t="s">
        <v>138</v>
      </c>
      <c r="I312" s="1228">
        <v>65</v>
      </c>
      <c r="J312" s="332" t="s">
        <v>1134</v>
      </c>
      <c r="K312" s="332" t="s">
        <v>936</v>
      </c>
      <c r="L312" s="1228">
        <v>6.5000000000000002E-2</v>
      </c>
      <c r="M312" s="332" t="s">
        <v>1135</v>
      </c>
      <c r="N312" s="332" t="s">
        <v>127</v>
      </c>
      <c r="O312" s="1229">
        <v>2.5214E-2</v>
      </c>
      <c r="P312" s="332" t="s">
        <v>1198</v>
      </c>
      <c r="Q312" s="332" t="s">
        <v>1255</v>
      </c>
      <c r="R312" s="722"/>
      <c r="S312" s="722"/>
      <c r="T312" s="496">
        <v>-10.8</v>
      </c>
      <c r="U312" s="496">
        <v>-9.1000000000000014</v>
      </c>
      <c r="V312" s="496">
        <v>-7.4774233500000014</v>
      </c>
      <c r="W312" s="496">
        <v>-6.4570835700000018</v>
      </c>
      <c r="X312" s="496">
        <v>-5.1934635400000015</v>
      </c>
      <c r="Y312" s="496">
        <v>-3.7490126700000017</v>
      </c>
      <c r="Z312" s="496">
        <v>-2.2047369800000016</v>
      </c>
      <c r="AA312" s="496">
        <v>0</v>
      </c>
      <c r="AB312" s="496">
        <v>0</v>
      </c>
      <c r="AC312" s="496">
        <v>0</v>
      </c>
    </row>
    <row r="313" spans="2:29" outlineLevel="1">
      <c r="B313" s="324" t="s">
        <v>723</v>
      </c>
      <c r="C313" s="332" t="s">
        <v>1379</v>
      </c>
      <c r="D313" s="332">
        <v>44379</v>
      </c>
      <c r="E313" s="332">
        <v>46961</v>
      </c>
      <c r="F313" s="332" t="s">
        <v>1380</v>
      </c>
      <c r="G313" s="332" t="s">
        <v>138</v>
      </c>
      <c r="H313" s="332" t="s">
        <v>138</v>
      </c>
      <c r="I313" s="1228">
        <v>40</v>
      </c>
      <c r="J313" s="332" t="s">
        <v>1134</v>
      </c>
      <c r="K313" s="332" t="s">
        <v>936</v>
      </c>
      <c r="L313" s="1228">
        <v>6.5000000000000002E-2</v>
      </c>
      <c r="M313" s="332" t="s">
        <v>1135</v>
      </c>
      <c r="N313" s="332" t="s">
        <v>127</v>
      </c>
      <c r="O313" s="1229">
        <v>2.5399000000000001E-2</v>
      </c>
      <c r="P313" s="332" t="s">
        <v>1198</v>
      </c>
      <c r="Q313" s="332" t="s">
        <v>155</v>
      </c>
      <c r="R313" s="722"/>
      <c r="S313" s="722"/>
      <c r="T313" s="496">
        <v>-6.6</v>
      </c>
      <c r="U313" s="496">
        <v>-5.6</v>
      </c>
      <c r="V313" s="496">
        <v>-4.6088710099999997</v>
      </c>
      <c r="W313" s="496">
        <v>-3.9883898799999997</v>
      </c>
      <c r="X313" s="496">
        <v>-3.2181775499999996</v>
      </c>
      <c r="Y313" s="496">
        <v>-2.3366846999999997</v>
      </c>
      <c r="Z313" s="496">
        <v>-1.3937611999999997</v>
      </c>
      <c r="AA313" s="496">
        <v>0</v>
      </c>
      <c r="AB313" s="496">
        <v>0</v>
      </c>
      <c r="AC313" s="496">
        <v>0</v>
      </c>
    </row>
    <row r="314" spans="2:29" outlineLevel="1">
      <c r="B314" s="324" t="s">
        <v>724</v>
      </c>
      <c r="C314" s="332" t="s">
        <v>1381</v>
      </c>
      <c r="D314" s="332">
        <v>44379</v>
      </c>
      <c r="E314" s="332">
        <v>46961</v>
      </c>
      <c r="F314" s="332" t="s">
        <v>1382</v>
      </c>
      <c r="G314" s="332" t="s">
        <v>138</v>
      </c>
      <c r="H314" s="332" t="s">
        <v>138</v>
      </c>
      <c r="I314" s="1228">
        <v>91</v>
      </c>
      <c r="J314" s="332" t="s">
        <v>1134</v>
      </c>
      <c r="K314" s="332" t="s">
        <v>127</v>
      </c>
      <c r="L314" s="1228">
        <v>2.5196E-2</v>
      </c>
      <c r="M314" s="332" t="s">
        <v>1198</v>
      </c>
      <c r="N314" s="332" t="s">
        <v>936</v>
      </c>
      <c r="O314" s="1229">
        <v>6.5000000000000002E-2</v>
      </c>
      <c r="P314" s="332" t="s">
        <v>1135</v>
      </c>
      <c r="Q314" s="332" t="s">
        <v>1163</v>
      </c>
      <c r="R314" s="722"/>
      <c r="S314" s="722"/>
      <c r="T314" s="496">
        <v>15.3</v>
      </c>
      <c r="U314" s="496">
        <v>12.9</v>
      </c>
      <c r="V314" s="496">
        <v>10.62675917</v>
      </c>
      <c r="W314" s="496">
        <v>9.1966409899999988</v>
      </c>
      <c r="X314" s="496">
        <v>7.4259349499999985</v>
      </c>
      <c r="Y314" s="496">
        <v>5.4020657199999986</v>
      </c>
      <c r="Z314" s="496">
        <v>3.2384417299999986</v>
      </c>
      <c r="AA314" s="496">
        <v>0</v>
      </c>
      <c r="AB314" s="496">
        <v>0</v>
      </c>
      <c r="AC314" s="496">
        <v>0</v>
      </c>
    </row>
    <row r="315" spans="2:29" outlineLevel="1">
      <c r="B315" s="324" t="s">
        <v>725</v>
      </c>
      <c r="C315" s="332" t="s">
        <v>1383</v>
      </c>
      <c r="D315" s="332">
        <v>44379</v>
      </c>
      <c r="E315" s="332">
        <v>49369</v>
      </c>
      <c r="F315" s="332" t="s">
        <v>1384</v>
      </c>
      <c r="G315" s="332" t="s">
        <v>138</v>
      </c>
      <c r="H315" s="332" t="s">
        <v>138</v>
      </c>
      <c r="I315" s="1228">
        <v>40</v>
      </c>
      <c r="J315" s="332" t="s">
        <v>1134</v>
      </c>
      <c r="K315" s="332" t="s">
        <v>936</v>
      </c>
      <c r="L315" s="1228">
        <v>0.05</v>
      </c>
      <c r="M315" s="332" t="s">
        <v>1135</v>
      </c>
      <c r="N315" s="332" t="s">
        <v>127</v>
      </c>
      <c r="O315" s="1229">
        <v>4.9800000000000001E-3</v>
      </c>
      <c r="P315" s="332" t="s">
        <v>1198</v>
      </c>
      <c r="Q315" s="332" t="s">
        <v>155</v>
      </c>
      <c r="R315" s="722"/>
      <c r="S315" s="722"/>
      <c r="T315" s="496">
        <v>-13.1</v>
      </c>
      <c r="U315" s="496">
        <v>-11.1</v>
      </c>
      <c r="V315" s="496">
        <v>-9.8965763399999993</v>
      </c>
      <c r="W315" s="496">
        <v>-9.0696042800000001</v>
      </c>
      <c r="X315" s="496">
        <v>-8.0773177</v>
      </c>
      <c r="Y315" s="496">
        <v>-6.9779253699999995</v>
      </c>
      <c r="Z315" s="496">
        <v>-5.8187273399999997</v>
      </c>
      <c r="AA315" s="496">
        <v>-4.6022300199999995</v>
      </c>
      <c r="AB315" s="496">
        <v>-3.3452111699999993</v>
      </c>
      <c r="AC315" s="496">
        <v>-2.0939230599999989</v>
      </c>
    </row>
    <row r="316" spans="2:29" outlineLevel="1">
      <c r="B316" s="324" t="s">
        <v>726</v>
      </c>
      <c r="C316" s="332" t="s">
        <v>1385</v>
      </c>
      <c r="D316" s="332">
        <v>44379</v>
      </c>
      <c r="E316" s="332">
        <v>49369</v>
      </c>
      <c r="F316" s="332" t="s">
        <v>1386</v>
      </c>
      <c r="G316" s="332" t="s">
        <v>138</v>
      </c>
      <c r="H316" s="332" t="s">
        <v>138</v>
      </c>
      <c r="I316" s="1228">
        <v>20</v>
      </c>
      <c r="J316" s="332" t="s">
        <v>1134</v>
      </c>
      <c r="K316" s="332" t="s">
        <v>936</v>
      </c>
      <c r="L316" s="1228">
        <v>0.05</v>
      </c>
      <c r="M316" s="332" t="s">
        <v>1135</v>
      </c>
      <c r="N316" s="332" t="s">
        <v>127</v>
      </c>
      <c r="O316" s="1229">
        <v>1.1412E-2</v>
      </c>
      <c r="P316" s="332" t="s">
        <v>1198</v>
      </c>
      <c r="Q316" s="332" t="s">
        <v>1255</v>
      </c>
      <c r="R316" s="722"/>
      <c r="S316" s="722"/>
      <c r="T316" s="496">
        <v>-5</v>
      </c>
      <c r="U316" s="496">
        <v>-4.0999999999999996</v>
      </c>
      <c r="V316" s="496">
        <v>-3.6265757299999994</v>
      </c>
      <c r="W316" s="496">
        <v>-3.3420821399999996</v>
      </c>
      <c r="X316" s="496">
        <v>-2.9745788599999994</v>
      </c>
      <c r="Y316" s="496">
        <v>-2.5535226899999994</v>
      </c>
      <c r="Z316" s="496">
        <v>-2.1025636799999994</v>
      </c>
      <c r="AA316" s="496">
        <v>-1.6233074599999995</v>
      </c>
      <c r="AB316" s="496">
        <v>-1.1234380399999995</v>
      </c>
      <c r="AC316" s="496">
        <v>-0.62643398999999955</v>
      </c>
    </row>
    <row r="317" spans="2:29" outlineLevel="1">
      <c r="B317" s="324" t="s">
        <v>727</v>
      </c>
      <c r="C317" s="332" t="s">
        <v>1387</v>
      </c>
      <c r="D317" s="332">
        <v>44379</v>
      </c>
      <c r="E317" s="332">
        <v>49369</v>
      </c>
      <c r="F317" s="332" t="s">
        <v>1388</v>
      </c>
      <c r="G317" s="332" t="s">
        <v>138</v>
      </c>
      <c r="H317" s="332" t="s">
        <v>138</v>
      </c>
      <c r="I317" s="1228">
        <v>40</v>
      </c>
      <c r="J317" s="332" t="s">
        <v>1258</v>
      </c>
      <c r="K317" s="332" t="s">
        <v>127</v>
      </c>
      <c r="L317" s="1228">
        <v>1.2095E-2</v>
      </c>
      <c r="M317" s="332" t="s">
        <v>1198</v>
      </c>
      <c r="N317" s="332" t="s">
        <v>936</v>
      </c>
      <c r="O317" s="1229">
        <v>0.05</v>
      </c>
      <c r="P317" s="332" t="s">
        <v>1135</v>
      </c>
      <c r="Q317" s="332" t="s">
        <v>155</v>
      </c>
      <c r="R317" s="722"/>
      <c r="S317" s="722"/>
      <c r="T317" s="496">
        <v>9.9</v>
      </c>
      <c r="U317" s="496">
        <v>8.1</v>
      </c>
      <c r="V317" s="496">
        <v>7.1803966099999998</v>
      </c>
      <c r="W317" s="496">
        <v>6.6388042799999996</v>
      </c>
      <c r="X317" s="496">
        <v>5.9311177099999997</v>
      </c>
      <c r="Y317" s="496">
        <v>5.1163253799999993</v>
      </c>
      <c r="Z317" s="496">
        <v>4.2417273599999996</v>
      </c>
      <c r="AA317" s="496">
        <v>3.3106097699999997</v>
      </c>
      <c r="AB317" s="496">
        <v>2.3381909199999997</v>
      </c>
      <c r="AC317" s="496">
        <v>1.3715027999999996</v>
      </c>
    </row>
    <row r="318" spans="2:29" outlineLevel="1">
      <c r="B318" s="324" t="s">
        <v>728</v>
      </c>
      <c r="C318" s="332" t="s">
        <v>1389</v>
      </c>
      <c r="D318" s="332">
        <v>44379</v>
      </c>
      <c r="E318" s="332">
        <v>49369</v>
      </c>
      <c r="F318" s="332" t="s">
        <v>1390</v>
      </c>
      <c r="G318" s="332" t="s">
        <v>138</v>
      </c>
      <c r="H318" s="332" t="s">
        <v>138</v>
      </c>
      <c r="I318" s="1228">
        <v>7</v>
      </c>
      <c r="J318" s="332" t="s">
        <v>1258</v>
      </c>
      <c r="K318" s="332" t="s">
        <v>127</v>
      </c>
      <c r="L318" s="1228">
        <v>9.8969999999999995E-3</v>
      </c>
      <c r="M318" s="332" t="s">
        <v>1198</v>
      </c>
      <c r="N318" s="332" t="s">
        <v>936</v>
      </c>
      <c r="O318" s="1229">
        <v>0.05</v>
      </c>
      <c r="P318" s="332" t="s">
        <v>1135</v>
      </c>
      <c r="Q318" s="332" t="s">
        <v>1166</v>
      </c>
      <c r="R318" s="722"/>
      <c r="S318" s="722"/>
      <c r="T318" s="496">
        <v>2</v>
      </c>
      <c r="U318" s="496">
        <v>1.7</v>
      </c>
      <c r="V318" s="496">
        <v>1.52372555</v>
      </c>
      <c r="W318" s="496">
        <v>1.41351874</v>
      </c>
      <c r="X318" s="496">
        <v>1.2742875899999999</v>
      </c>
      <c r="Y318" s="496">
        <v>1.1163129299999999</v>
      </c>
      <c r="Z318" s="496">
        <v>0.9478722799999999</v>
      </c>
      <c r="AA318" s="496">
        <v>0.76949855999999994</v>
      </c>
      <c r="AB318" s="496">
        <v>0.58393925999999996</v>
      </c>
      <c r="AC318" s="496">
        <v>0.39938284999999996</v>
      </c>
    </row>
    <row r="319" spans="2:29" outlineLevel="1">
      <c r="B319" s="324" t="s">
        <v>729</v>
      </c>
      <c r="C319" s="332" t="s">
        <v>1391</v>
      </c>
      <c r="D319" s="332">
        <v>44386</v>
      </c>
      <c r="E319" s="332">
        <v>47861</v>
      </c>
      <c r="F319" s="332" t="s">
        <v>1392</v>
      </c>
      <c r="G319" s="332" t="s">
        <v>138</v>
      </c>
      <c r="H319" s="332" t="s">
        <v>138</v>
      </c>
      <c r="I319" s="1228">
        <v>40</v>
      </c>
      <c r="J319" s="332" t="s">
        <v>1134</v>
      </c>
      <c r="K319" s="332" t="s">
        <v>936</v>
      </c>
      <c r="L319" s="1228">
        <v>7.3749999999999996E-2</v>
      </c>
      <c r="M319" s="332" t="s">
        <v>1135</v>
      </c>
      <c r="N319" s="332" t="s">
        <v>127</v>
      </c>
      <c r="O319" s="1229">
        <v>3.6391E-2</v>
      </c>
      <c r="P319" s="332" t="s">
        <v>1198</v>
      </c>
      <c r="Q319" s="332" t="s">
        <v>1279</v>
      </c>
      <c r="R319" s="722"/>
      <c r="S319" s="722"/>
      <c r="T319" s="496">
        <v>-6.7</v>
      </c>
      <c r="U319" s="496">
        <v>-4.2</v>
      </c>
      <c r="V319" s="496">
        <v>-3.3002324200000004</v>
      </c>
      <c r="W319" s="496">
        <v>-2.7625487700000004</v>
      </c>
      <c r="X319" s="496">
        <v>-2.0843911200000003</v>
      </c>
      <c r="Y319" s="496">
        <v>-1.2939510100000002</v>
      </c>
      <c r="Z319" s="496">
        <v>-0.44061751000000027</v>
      </c>
      <c r="AA319" s="496">
        <v>0.47105386999999976</v>
      </c>
      <c r="AB319" s="496">
        <v>1.4129042199999997</v>
      </c>
      <c r="AC319" s="496">
        <v>0</v>
      </c>
    </row>
    <row r="320" spans="2:29" outlineLevel="1">
      <c r="B320" s="324" t="s">
        <v>730</v>
      </c>
      <c r="C320" s="332" t="s">
        <v>1393</v>
      </c>
      <c r="D320" s="332">
        <v>44386</v>
      </c>
      <c r="E320" s="332">
        <v>47861</v>
      </c>
      <c r="F320" s="332" t="s">
        <v>1394</v>
      </c>
      <c r="G320" s="332" t="s">
        <v>138</v>
      </c>
      <c r="H320" s="332" t="s">
        <v>138</v>
      </c>
      <c r="I320" s="1228">
        <v>24</v>
      </c>
      <c r="J320" s="332" t="s">
        <v>1134</v>
      </c>
      <c r="K320" s="332" t="s">
        <v>936</v>
      </c>
      <c r="L320" s="1228">
        <v>7.3749999999999996E-2</v>
      </c>
      <c r="M320" s="332" t="s">
        <v>1135</v>
      </c>
      <c r="N320" s="332" t="s">
        <v>127</v>
      </c>
      <c r="O320" s="1229">
        <v>3.7442000000000003E-2</v>
      </c>
      <c r="P320" s="332" t="s">
        <v>1198</v>
      </c>
      <c r="Q320" s="332" t="s">
        <v>1282</v>
      </c>
      <c r="R320" s="722"/>
      <c r="S320" s="722"/>
      <c r="T320" s="496">
        <v>-3.9</v>
      </c>
      <c r="U320" s="496">
        <v>-2.4</v>
      </c>
      <c r="V320" s="496">
        <v>-1.8852943499999999</v>
      </c>
      <c r="W320" s="496">
        <v>-1.5879772699999999</v>
      </c>
      <c r="X320" s="496">
        <v>-1.20630668</v>
      </c>
      <c r="Y320" s="496">
        <v>-0.75726660999999995</v>
      </c>
      <c r="Z320" s="496">
        <v>-0.27049050999999996</v>
      </c>
      <c r="AA320" s="496">
        <v>0.25121922000000002</v>
      </c>
      <c r="AB320" s="496">
        <v>0.79110543</v>
      </c>
      <c r="AC320" s="496">
        <v>0</v>
      </c>
    </row>
    <row r="321" spans="2:29" outlineLevel="1">
      <c r="B321" s="324" t="s">
        <v>731</v>
      </c>
      <c r="C321" s="332" t="s">
        <v>1395</v>
      </c>
      <c r="D321" s="332">
        <v>44386</v>
      </c>
      <c r="E321" s="332">
        <v>47861</v>
      </c>
      <c r="F321" s="332" t="s">
        <v>1396</v>
      </c>
      <c r="G321" s="332" t="s">
        <v>138</v>
      </c>
      <c r="H321" s="332" t="s">
        <v>138</v>
      </c>
      <c r="I321" s="1228">
        <v>38</v>
      </c>
      <c r="J321" s="332" t="s">
        <v>1134</v>
      </c>
      <c r="K321" s="332" t="s">
        <v>936</v>
      </c>
      <c r="L321" s="1228">
        <v>7.3749999999999996E-2</v>
      </c>
      <c r="M321" s="332" t="s">
        <v>1135</v>
      </c>
      <c r="N321" s="332" t="s">
        <v>127</v>
      </c>
      <c r="O321" s="1229">
        <v>3.3792000000000003E-2</v>
      </c>
      <c r="P321" s="332" t="s">
        <v>1198</v>
      </c>
      <c r="Q321" s="332" t="s">
        <v>1255</v>
      </c>
      <c r="R321" s="722"/>
      <c r="S321" s="722"/>
      <c r="T321" s="496">
        <v>-7.2</v>
      </c>
      <c r="U321" s="496">
        <v>-4.8000000000000007</v>
      </c>
      <c r="V321" s="496">
        <v>-3.8467293900000006</v>
      </c>
      <c r="W321" s="496">
        <v>-3.2368973400000005</v>
      </c>
      <c r="X321" s="496">
        <v>-2.4938855800000006</v>
      </c>
      <c r="Y321" s="496">
        <v>-1.6442054800000006</v>
      </c>
      <c r="Z321" s="496">
        <v>-0.73477666000000064</v>
      </c>
      <c r="AA321" s="496">
        <v>0.23034372999999941</v>
      </c>
      <c r="AB321" s="496">
        <v>1.2238635699999993</v>
      </c>
      <c r="AC321" s="496">
        <v>0</v>
      </c>
    </row>
    <row r="322" spans="2:29" outlineLevel="1">
      <c r="B322" s="324" t="s">
        <v>732</v>
      </c>
      <c r="C322" s="332" t="s">
        <v>1397</v>
      </c>
      <c r="D322" s="332">
        <v>44386</v>
      </c>
      <c r="E322" s="332">
        <v>47861</v>
      </c>
      <c r="F322" s="332" t="s">
        <v>1398</v>
      </c>
      <c r="G322" s="332" t="s">
        <v>138</v>
      </c>
      <c r="H322" s="332" t="s">
        <v>138</v>
      </c>
      <c r="I322" s="1228">
        <v>38</v>
      </c>
      <c r="J322" s="332" t="s">
        <v>1134</v>
      </c>
      <c r="K322" s="332" t="s">
        <v>936</v>
      </c>
      <c r="L322" s="1228">
        <v>7.3749999999999996E-2</v>
      </c>
      <c r="M322" s="332" t="s">
        <v>1135</v>
      </c>
      <c r="N322" s="332" t="s">
        <v>127</v>
      </c>
      <c r="O322" s="1229">
        <v>3.4176999999999999E-2</v>
      </c>
      <c r="P322" s="332" t="s">
        <v>1198</v>
      </c>
      <c r="Q322" s="332" t="s">
        <v>1282</v>
      </c>
      <c r="R322" s="722"/>
      <c r="S322" s="722"/>
      <c r="T322" s="496">
        <v>-7.1</v>
      </c>
      <c r="U322" s="496">
        <v>-4.6999999999999993</v>
      </c>
      <c r="V322" s="496">
        <v>-3.7613192999999994</v>
      </c>
      <c r="W322" s="496">
        <v>-3.1661573299999994</v>
      </c>
      <c r="X322" s="496">
        <v>-2.4377755699999994</v>
      </c>
      <c r="Y322" s="496">
        <v>-1.6027254699999993</v>
      </c>
      <c r="Z322" s="496">
        <v>-0.70792664999999932</v>
      </c>
      <c r="AA322" s="496">
        <v>0.2425236600000007</v>
      </c>
      <c r="AB322" s="496">
        <v>1.2214134900000007</v>
      </c>
      <c r="AC322" s="496">
        <v>0</v>
      </c>
    </row>
    <row r="323" spans="2:29" outlineLevel="1">
      <c r="B323" s="324" t="s">
        <v>733</v>
      </c>
      <c r="C323" s="332" t="s">
        <v>1399</v>
      </c>
      <c r="D323" s="332">
        <v>44386</v>
      </c>
      <c r="E323" s="332">
        <v>47861</v>
      </c>
      <c r="F323" s="332" t="s">
        <v>1400</v>
      </c>
      <c r="G323" s="332" t="s">
        <v>138</v>
      </c>
      <c r="H323" s="332" t="s">
        <v>138</v>
      </c>
      <c r="I323" s="1228">
        <v>48</v>
      </c>
      <c r="J323" s="332" t="s">
        <v>1134</v>
      </c>
      <c r="K323" s="332" t="s">
        <v>936</v>
      </c>
      <c r="L323" s="1228">
        <v>7.3749999999999996E-2</v>
      </c>
      <c r="M323" s="332" t="s">
        <v>1135</v>
      </c>
      <c r="N323" s="332" t="s">
        <v>127</v>
      </c>
      <c r="O323" s="1229">
        <v>3.4616000000000001E-2</v>
      </c>
      <c r="P323" s="332" t="s">
        <v>1198</v>
      </c>
      <c r="Q323" s="332" t="s">
        <v>155</v>
      </c>
      <c r="R323" s="722"/>
      <c r="S323" s="722"/>
      <c r="T323" s="496">
        <v>-8.8000000000000007</v>
      </c>
      <c r="U323" s="496">
        <v>-5.8000000000000007</v>
      </c>
      <c r="V323" s="496">
        <v>-4.6353123300000005</v>
      </c>
      <c r="W323" s="496">
        <v>-3.9046585200000004</v>
      </c>
      <c r="X323" s="496">
        <v>-3.0056693400000003</v>
      </c>
      <c r="Y323" s="496">
        <v>-1.9719412100000002</v>
      </c>
      <c r="Z323" s="496">
        <v>-0.86274101000000036</v>
      </c>
      <c r="AA323" s="496">
        <v>0.31669807999999966</v>
      </c>
      <c r="AB323" s="496">
        <v>1.5321185099999997</v>
      </c>
      <c r="AC323" s="496">
        <v>0</v>
      </c>
    </row>
    <row r="324" spans="2:29" outlineLevel="1">
      <c r="B324" s="324" t="s">
        <v>734</v>
      </c>
      <c r="C324" s="332" t="s">
        <v>1401</v>
      </c>
      <c r="D324" s="332">
        <v>44386</v>
      </c>
      <c r="E324" s="332">
        <v>47861</v>
      </c>
      <c r="F324" s="332" t="s">
        <v>1402</v>
      </c>
      <c r="G324" s="332" t="s">
        <v>138</v>
      </c>
      <c r="H324" s="332" t="s">
        <v>138</v>
      </c>
      <c r="I324" s="1228">
        <v>15</v>
      </c>
      <c r="J324" s="332" t="s">
        <v>1258</v>
      </c>
      <c r="K324" s="332" t="s">
        <v>127</v>
      </c>
      <c r="L324" s="1228">
        <v>3.3646000000000002E-2</v>
      </c>
      <c r="M324" s="332" t="s">
        <v>1198</v>
      </c>
      <c r="N324" s="332" t="s">
        <v>936</v>
      </c>
      <c r="O324" s="1229">
        <v>7.3749999999999996E-2</v>
      </c>
      <c r="P324" s="332" t="s">
        <v>1135</v>
      </c>
      <c r="Q324" s="332" t="s">
        <v>1166</v>
      </c>
      <c r="R324" s="722"/>
      <c r="S324" s="722"/>
      <c r="T324" s="496">
        <v>2.9</v>
      </c>
      <c r="U324" s="496">
        <v>1.9</v>
      </c>
      <c r="V324" s="496">
        <v>1.5215249699999998</v>
      </c>
      <c r="W324" s="496">
        <v>1.2786057799999997</v>
      </c>
      <c r="X324" s="496">
        <v>0.98312165999999968</v>
      </c>
      <c r="Y324" s="496">
        <v>0.6455316099999997</v>
      </c>
      <c r="Z324" s="496">
        <v>0.28435654999999971</v>
      </c>
      <c r="AA324" s="496">
        <v>-9.8808030000000324E-2</v>
      </c>
      <c r="AB324" s="496">
        <v>-0.49317692000000035</v>
      </c>
      <c r="AC324" s="496">
        <v>0</v>
      </c>
    </row>
    <row r="325" spans="2:29" outlineLevel="1">
      <c r="B325" s="324" t="s">
        <v>735</v>
      </c>
      <c r="C325" s="332" t="s">
        <v>1403</v>
      </c>
      <c r="D325" s="332">
        <v>44386</v>
      </c>
      <c r="E325" s="332">
        <v>47861</v>
      </c>
      <c r="F325" s="332" t="s">
        <v>1404</v>
      </c>
      <c r="G325" s="332" t="s">
        <v>138</v>
      </c>
      <c r="H325" s="332" t="s">
        <v>138</v>
      </c>
      <c r="I325" s="1228">
        <v>63</v>
      </c>
      <c r="J325" s="332" t="s">
        <v>1258</v>
      </c>
      <c r="K325" s="332" t="s">
        <v>127</v>
      </c>
      <c r="L325" s="1228">
        <v>4.5945E-2</v>
      </c>
      <c r="M325" s="332" t="s">
        <v>1198</v>
      </c>
      <c r="N325" s="332" t="s">
        <v>936</v>
      </c>
      <c r="O325" s="1229">
        <v>7.3749999999999996E-2</v>
      </c>
      <c r="P325" s="332" t="s">
        <v>1135</v>
      </c>
      <c r="Q325" s="332" t="s">
        <v>1137</v>
      </c>
      <c r="R325" s="722"/>
      <c r="S325" s="722"/>
      <c r="T325" s="496">
        <v>5.8</v>
      </c>
      <c r="U325" s="496">
        <v>2.2999999999999998</v>
      </c>
      <c r="V325" s="496">
        <v>1.4831190199999997</v>
      </c>
      <c r="W325" s="496">
        <v>1.2398183099999998</v>
      </c>
      <c r="X325" s="496">
        <v>0.7736220199999998</v>
      </c>
      <c r="Y325" s="496">
        <v>0.13058084999999975</v>
      </c>
      <c r="Z325" s="496">
        <v>-0.61151740000000021</v>
      </c>
      <c r="AA325" s="496">
        <v>-1.4438487800000002</v>
      </c>
      <c r="AB325" s="496">
        <v>-2.3253610900000004</v>
      </c>
      <c r="AC325" s="496">
        <v>0</v>
      </c>
    </row>
    <row r="326" spans="2:29" outlineLevel="1">
      <c r="B326" s="324" t="s">
        <v>736</v>
      </c>
      <c r="C326" s="332" t="s">
        <v>1405</v>
      </c>
      <c r="D326" s="332">
        <v>44386</v>
      </c>
      <c r="E326" s="332">
        <v>47861</v>
      </c>
      <c r="F326" s="332" t="s">
        <v>1406</v>
      </c>
      <c r="G326" s="332" t="s">
        <v>138</v>
      </c>
      <c r="H326" s="332" t="s">
        <v>138</v>
      </c>
      <c r="I326" s="1228">
        <v>45</v>
      </c>
      <c r="J326" s="332" t="s">
        <v>1258</v>
      </c>
      <c r="K326" s="332" t="s">
        <v>127</v>
      </c>
      <c r="L326" s="1228">
        <v>5.2741000000000003E-2</v>
      </c>
      <c r="M326" s="332" t="s">
        <v>1198</v>
      </c>
      <c r="N326" s="332" t="s">
        <v>936</v>
      </c>
      <c r="O326" s="1229">
        <v>7.3749999999999996E-2</v>
      </c>
      <c r="P326" s="332" t="s">
        <v>1135</v>
      </c>
      <c r="Q326" s="332" t="s">
        <v>1279</v>
      </c>
      <c r="R326" s="722"/>
      <c r="S326" s="722"/>
      <c r="T326" s="496">
        <v>1.5</v>
      </c>
      <c r="U326" s="496">
        <v>-0.79999999999999982</v>
      </c>
      <c r="V326" s="496">
        <v>-1.0785042799999998</v>
      </c>
      <c r="W326" s="496">
        <v>-0.94563263999999969</v>
      </c>
      <c r="X326" s="496">
        <v>-0.97280997999999974</v>
      </c>
      <c r="Y326" s="496">
        <v>-1.1263051099999997</v>
      </c>
      <c r="Z326" s="496">
        <v>-1.3505552899999997</v>
      </c>
      <c r="AA326" s="496">
        <v>-1.6384198399999996</v>
      </c>
      <c r="AB326" s="496">
        <v>-1.9622514899999997</v>
      </c>
      <c r="AC326" s="496">
        <v>0</v>
      </c>
    </row>
    <row r="327" spans="2:29" outlineLevel="1">
      <c r="B327" s="324" t="s">
        <v>737</v>
      </c>
      <c r="C327" s="332" t="s">
        <v>1407</v>
      </c>
      <c r="D327" s="332">
        <v>44386</v>
      </c>
      <c r="E327" s="332">
        <v>47861</v>
      </c>
      <c r="F327" s="332" t="s">
        <v>1406</v>
      </c>
      <c r="G327" s="332" t="s">
        <v>138</v>
      </c>
      <c r="H327" s="332" t="s">
        <v>138</v>
      </c>
      <c r="I327" s="1228">
        <v>45</v>
      </c>
      <c r="J327" s="332" t="s">
        <v>1258</v>
      </c>
      <c r="K327" s="332" t="s">
        <v>127</v>
      </c>
      <c r="L327" s="1228">
        <v>5.2746000000000001E-2</v>
      </c>
      <c r="M327" s="332" t="s">
        <v>1198</v>
      </c>
      <c r="N327" s="332" t="s">
        <v>936</v>
      </c>
      <c r="O327" s="1229">
        <v>7.3749999999999996E-2</v>
      </c>
      <c r="P327" s="332" t="s">
        <v>1135</v>
      </c>
      <c r="Q327" s="332" t="s">
        <v>1163</v>
      </c>
      <c r="R327" s="722"/>
      <c r="S327" s="722"/>
      <c r="T327" s="496">
        <v>1.6</v>
      </c>
      <c r="U327" s="496">
        <v>-0.69999999999999973</v>
      </c>
      <c r="V327" s="496">
        <v>-0.97827989999999976</v>
      </c>
      <c r="W327" s="496">
        <v>-0.84518263999999976</v>
      </c>
      <c r="X327" s="496">
        <v>-0.87213498999999972</v>
      </c>
      <c r="Y327" s="496">
        <v>-1.0254051199999998</v>
      </c>
      <c r="Z327" s="496">
        <v>-1.2494302999999998</v>
      </c>
      <c r="AA327" s="496">
        <v>-1.5370692399999997</v>
      </c>
      <c r="AB327" s="496">
        <v>-1.8606758899999996</v>
      </c>
      <c r="AC327" s="496">
        <v>0</v>
      </c>
    </row>
    <row r="328" spans="2:29" outlineLevel="1">
      <c r="B328" s="324" t="s">
        <v>738</v>
      </c>
      <c r="C328" s="332" t="s">
        <v>1408</v>
      </c>
      <c r="D328" s="332">
        <v>44386</v>
      </c>
      <c r="E328" s="332">
        <v>47861</v>
      </c>
      <c r="F328" s="332" t="s">
        <v>1409</v>
      </c>
      <c r="G328" s="332" t="s">
        <v>138</v>
      </c>
      <c r="H328" s="332" t="s">
        <v>138</v>
      </c>
      <c r="I328" s="1228">
        <v>19</v>
      </c>
      <c r="J328" s="332" t="s">
        <v>1258</v>
      </c>
      <c r="K328" s="332" t="s">
        <v>127</v>
      </c>
      <c r="L328" s="1228">
        <v>3.3099999999999997E-2</v>
      </c>
      <c r="M328" s="332" t="s">
        <v>1198</v>
      </c>
      <c r="N328" s="332" t="s">
        <v>936</v>
      </c>
      <c r="O328" s="1229">
        <v>7.3749999999999996E-2</v>
      </c>
      <c r="P328" s="332" t="s">
        <v>1135</v>
      </c>
      <c r="Q328" s="332" t="s">
        <v>1142</v>
      </c>
      <c r="R328" s="722"/>
      <c r="S328" s="722"/>
      <c r="T328" s="496">
        <v>3.8</v>
      </c>
      <c r="U328" s="496">
        <v>2.5999999999999996</v>
      </c>
      <c r="V328" s="496">
        <v>2.1102527099999997</v>
      </c>
      <c r="W328" s="496">
        <v>1.7921526499999998</v>
      </c>
      <c r="X328" s="496">
        <v>1.4074987699999997</v>
      </c>
      <c r="Y328" s="496">
        <v>0.96951071999999971</v>
      </c>
      <c r="Z328" s="496">
        <v>0.50164830999999976</v>
      </c>
      <c r="AA328" s="496">
        <v>5.9040899999998064E-3</v>
      </c>
      <c r="AB328" s="496">
        <v>-0.50400383000000015</v>
      </c>
      <c r="AC328" s="496">
        <v>0</v>
      </c>
    </row>
    <row r="329" spans="2:29" outlineLevel="1">
      <c r="B329" s="324" t="s">
        <v>739</v>
      </c>
      <c r="C329" s="332" t="s">
        <v>1410</v>
      </c>
      <c r="D329" s="332">
        <v>44439</v>
      </c>
      <c r="E329" s="332">
        <v>48484</v>
      </c>
      <c r="F329" s="332" t="s">
        <v>1411</v>
      </c>
      <c r="G329" s="332" t="s">
        <v>138</v>
      </c>
      <c r="H329" s="332" t="s">
        <v>138</v>
      </c>
      <c r="I329" s="1228">
        <v>45.5</v>
      </c>
      <c r="J329" s="332" t="s">
        <v>1134</v>
      </c>
      <c r="K329" s="332" t="s">
        <v>127</v>
      </c>
      <c r="L329" s="1228">
        <v>1.3657000000000001E-2</v>
      </c>
      <c r="M329" s="332" t="s">
        <v>1198</v>
      </c>
      <c r="N329" s="332" t="s">
        <v>936</v>
      </c>
      <c r="O329" s="1229">
        <v>3.8774999999999997E-2</v>
      </c>
      <c r="P329" s="332" t="s">
        <v>1135</v>
      </c>
      <c r="Q329" s="332" t="s">
        <v>155</v>
      </c>
      <c r="R329" s="722"/>
      <c r="S329" s="722"/>
      <c r="T329" s="496">
        <v>3.7</v>
      </c>
      <c r="U329" s="496">
        <v>3.2</v>
      </c>
      <c r="V329" s="496">
        <v>2.7648504600000003</v>
      </c>
      <c r="W329" s="496">
        <v>2.7169151500000002</v>
      </c>
      <c r="X329" s="496">
        <v>2.49017233</v>
      </c>
      <c r="Y329" s="496">
        <v>2.1422087799999998</v>
      </c>
      <c r="Z329" s="496">
        <v>1.7296726099999997</v>
      </c>
      <c r="AA329" s="496">
        <v>1.2468899299999996</v>
      </c>
      <c r="AB329" s="496">
        <v>0.71948034999999966</v>
      </c>
      <c r="AC329" s="496">
        <v>0.20152754999999967</v>
      </c>
    </row>
    <row r="330" spans="2:29" outlineLevel="1">
      <c r="B330" s="324" t="s">
        <v>740</v>
      </c>
      <c r="C330" s="332" t="s">
        <v>1412</v>
      </c>
      <c r="D330" s="332">
        <v>44439</v>
      </c>
      <c r="E330" s="332">
        <v>49339</v>
      </c>
      <c r="F330" s="332" t="s">
        <v>1413</v>
      </c>
      <c r="G330" s="332" t="s">
        <v>138</v>
      </c>
      <c r="H330" s="332" t="s">
        <v>138</v>
      </c>
      <c r="I330" s="1228">
        <v>48</v>
      </c>
      <c r="J330" s="332" t="s">
        <v>1134</v>
      </c>
      <c r="K330" s="332" t="s">
        <v>127</v>
      </c>
      <c r="L330" s="1228">
        <v>1.2867999999999999E-2</v>
      </c>
      <c r="M330" s="332" t="s">
        <v>1198</v>
      </c>
      <c r="N330" s="332" t="s">
        <v>936</v>
      </c>
      <c r="O330" s="1229">
        <v>4.0160000000000001E-2</v>
      </c>
      <c r="P330" s="332" t="s">
        <v>1135</v>
      </c>
      <c r="Q330" s="332" t="s">
        <v>1142</v>
      </c>
      <c r="R330" s="722"/>
      <c r="S330" s="722"/>
      <c r="T330" s="496">
        <v>6.4</v>
      </c>
      <c r="U330" s="496">
        <v>6.2</v>
      </c>
      <c r="V330" s="496">
        <v>5.59925199</v>
      </c>
      <c r="W330" s="496">
        <v>5.4437551299999996</v>
      </c>
      <c r="X330" s="496">
        <v>5.1054160199999998</v>
      </c>
      <c r="Y330" s="496">
        <v>4.6394673900000001</v>
      </c>
      <c r="Z330" s="496">
        <v>4.098967</v>
      </c>
      <c r="AA330" s="496">
        <v>3.4869301699999999</v>
      </c>
      <c r="AB330" s="496">
        <v>2.83177791</v>
      </c>
      <c r="AC330" s="496">
        <v>2.1813483200000001</v>
      </c>
    </row>
    <row r="331" spans="2:29" outlineLevel="1">
      <c r="B331" s="324" t="s">
        <v>741</v>
      </c>
      <c r="C331" s="332" t="s">
        <v>1414</v>
      </c>
      <c r="D331" s="332">
        <v>44427</v>
      </c>
      <c r="E331" s="332">
        <v>45686</v>
      </c>
      <c r="F331" s="332" t="s">
        <v>1415</v>
      </c>
      <c r="G331" s="332" t="s">
        <v>138</v>
      </c>
      <c r="H331" s="332" t="s">
        <v>138</v>
      </c>
      <c r="I331" s="1228">
        <v>77</v>
      </c>
      <c r="J331" s="332" t="s">
        <v>1134</v>
      </c>
      <c r="K331" s="332" t="s">
        <v>127</v>
      </c>
      <c r="L331" s="1228">
        <v>1.111E-2</v>
      </c>
      <c r="M331" s="332" t="s">
        <v>1198</v>
      </c>
      <c r="N331" s="332" t="s">
        <v>936</v>
      </c>
      <c r="O331" s="1229">
        <v>3.1800000000000002E-2</v>
      </c>
      <c r="P331" s="332" t="s">
        <v>1135</v>
      </c>
      <c r="Q331" s="332" t="s">
        <v>155</v>
      </c>
      <c r="R331" s="722"/>
      <c r="S331" s="722"/>
      <c r="T331" s="496">
        <v>0.4</v>
      </c>
      <c r="U331" s="496">
        <v>0.2</v>
      </c>
      <c r="V331" s="496">
        <v>-0.25530944</v>
      </c>
      <c r="W331" s="496">
        <v>0</v>
      </c>
      <c r="X331" s="496">
        <v>0</v>
      </c>
      <c r="Y331" s="496">
        <v>0</v>
      </c>
      <c r="Z331" s="496">
        <v>0</v>
      </c>
      <c r="AA331" s="496">
        <v>0</v>
      </c>
      <c r="AB331" s="496">
        <v>0</v>
      </c>
      <c r="AC331" s="496">
        <v>0</v>
      </c>
    </row>
    <row r="332" spans="2:29">
      <c r="F332" s="169"/>
      <c r="G332" s="169"/>
      <c r="H332" s="169"/>
      <c r="I332" s="169"/>
      <c r="S332" s="985" t="s">
        <v>742</v>
      </c>
      <c r="T332" s="474">
        <f t="shared" ref="T332:AC332" si="8">SUM(T248:T331)</f>
        <v>8.2999999999999954</v>
      </c>
      <c r="U332" s="475">
        <f t="shared" si="8"/>
        <v>17.999999999999989</v>
      </c>
      <c r="V332" s="475">
        <f t="shared" si="8"/>
        <v>15.924969839999997</v>
      </c>
      <c r="W332" s="475">
        <f t="shared" si="8"/>
        <v>12.991122529999998</v>
      </c>
      <c r="X332" s="475">
        <f t="shared" si="8"/>
        <v>11.10415196999999</v>
      </c>
      <c r="Y332" s="475">
        <f t="shared" si="8"/>
        <v>11.558267339999997</v>
      </c>
      <c r="Z332" s="475">
        <f t="shared" si="8"/>
        <v>12.426811329999998</v>
      </c>
      <c r="AA332" s="476">
        <f t="shared" si="8"/>
        <v>12.293030680000001</v>
      </c>
      <c r="AB332" s="477">
        <f t="shared" si="8"/>
        <v>12.296530749999999</v>
      </c>
      <c r="AC332" s="475">
        <f t="shared" si="8"/>
        <v>11.019290270000003</v>
      </c>
    </row>
    <row r="333" spans="2:29" outlineLevel="1">
      <c r="B333" s="325" t="s">
        <v>468</v>
      </c>
      <c r="C333" s="1439" t="s">
        <v>1236</v>
      </c>
      <c r="D333" s="1440"/>
      <c r="E333" s="1440"/>
      <c r="F333" s="1440"/>
      <c r="G333" s="1440"/>
      <c r="H333" s="1440"/>
      <c r="I333" s="1440"/>
      <c r="J333" s="1440"/>
      <c r="K333" s="1440"/>
      <c r="L333" s="1440"/>
      <c r="M333" s="1440"/>
      <c r="N333" s="1440"/>
      <c r="O333" s="1440"/>
      <c r="P333" s="1440"/>
      <c r="Q333" s="1441"/>
      <c r="S333" s="153"/>
      <c r="AB333" s="283"/>
    </row>
    <row r="334" spans="2:29" outlineLevel="1">
      <c r="B334" s="324" t="s">
        <v>1416</v>
      </c>
      <c r="C334" s="1422" t="s">
        <v>1417</v>
      </c>
      <c r="D334" s="1423"/>
      <c r="E334" s="1423"/>
      <c r="F334" s="1423"/>
      <c r="G334" s="1423"/>
      <c r="H334" s="1423"/>
      <c r="I334" s="1423"/>
      <c r="J334" s="1423"/>
      <c r="K334" s="1423"/>
      <c r="L334" s="1423"/>
      <c r="M334" s="1423"/>
      <c r="N334" s="1423"/>
      <c r="O334" s="1423"/>
      <c r="P334" s="1423"/>
      <c r="Q334" s="1424"/>
      <c r="S334" s="172"/>
      <c r="AB334" s="283"/>
    </row>
    <row r="335" spans="2:29" outlineLevel="1">
      <c r="B335" s="324" t="s">
        <v>1418</v>
      </c>
      <c r="C335" s="1422" t="s">
        <v>1417</v>
      </c>
      <c r="D335" s="1423"/>
      <c r="E335" s="1423"/>
      <c r="F335" s="1423"/>
      <c r="G335" s="1423"/>
      <c r="H335" s="1423"/>
      <c r="I335" s="1423"/>
      <c r="J335" s="1423"/>
      <c r="K335" s="1423"/>
      <c r="L335" s="1423"/>
      <c r="M335" s="1423"/>
      <c r="N335" s="1423"/>
      <c r="O335" s="1423"/>
      <c r="P335" s="1423"/>
      <c r="Q335" s="1424"/>
      <c r="S335" s="172"/>
      <c r="AB335" s="283"/>
    </row>
    <row r="336" spans="2:29" outlineLevel="1">
      <c r="B336" s="324" t="s">
        <v>1419</v>
      </c>
      <c r="C336" s="1422" t="s">
        <v>1420</v>
      </c>
      <c r="D336" s="1423"/>
      <c r="E336" s="1423"/>
      <c r="F336" s="1423"/>
      <c r="G336" s="1423"/>
      <c r="H336" s="1423"/>
      <c r="I336" s="1423"/>
      <c r="J336" s="1423"/>
      <c r="K336" s="1423"/>
      <c r="L336" s="1423"/>
      <c r="M336" s="1423"/>
      <c r="N336" s="1423"/>
      <c r="O336" s="1423"/>
      <c r="P336" s="1423"/>
      <c r="Q336" s="1424"/>
      <c r="S336" s="172"/>
      <c r="AB336" s="283"/>
    </row>
    <row r="337" spans="2:28" outlineLevel="1">
      <c r="B337" s="324" t="s">
        <v>1421</v>
      </c>
      <c r="C337" s="1422" t="s">
        <v>1420</v>
      </c>
      <c r="D337" s="1423"/>
      <c r="E337" s="1423"/>
      <c r="F337" s="1423"/>
      <c r="G337" s="1423"/>
      <c r="H337" s="1423"/>
      <c r="I337" s="1423"/>
      <c r="J337" s="1423"/>
      <c r="K337" s="1423"/>
      <c r="L337" s="1423"/>
      <c r="M337" s="1423"/>
      <c r="N337" s="1423"/>
      <c r="O337" s="1423"/>
      <c r="P337" s="1423"/>
      <c r="Q337" s="1424"/>
      <c r="S337" s="172"/>
      <c r="AB337" s="283"/>
    </row>
    <row r="338" spans="2:28" outlineLevel="1">
      <c r="B338" s="324" t="s">
        <v>1422</v>
      </c>
      <c r="C338" s="1422" t="s">
        <v>1417</v>
      </c>
      <c r="D338" s="1423"/>
      <c r="E338" s="1423"/>
      <c r="F338" s="1423"/>
      <c r="G338" s="1423"/>
      <c r="H338" s="1423"/>
      <c r="I338" s="1423"/>
      <c r="J338" s="1423"/>
      <c r="K338" s="1423"/>
      <c r="L338" s="1423"/>
      <c r="M338" s="1423"/>
      <c r="N338" s="1423"/>
      <c r="O338" s="1423"/>
      <c r="P338" s="1423"/>
      <c r="Q338" s="1424"/>
      <c r="S338" s="172"/>
      <c r="AB338" s="283"/>
    </row>
    <row r="339" spans="2:28" outlineLevel="1">
      <c r="B339" s="324" t="s">
        <v>1423</v>
      </c>
      <c r="C339" s="1422" t="s">
        <v>1417</v>
      </c>
      <c r="D339" s="1423"/>
      <c r="E339" s="1423"/>
      <c r="F339" s="1423"/>
      <c r="G339" s="1423"/>
      <c r="H339" s="1423"/>
      <c r="I339" s="1423"/>
      <c r="J339" s="1423"/>
      <c r="K339" s="1423"/>
      <c r="L339" s="1423"/>
      <c r="M339" s="1423"/>
      <c r="N339" s="1423"/>
      <c r="O339" s="1423"/>
      <c r="P339" s="1423"/>
      <c r="Q339" s="1424"/>
      <c r="S339" s="172"/>
      <c r="AB339" s="283"/>
    </row>
    <row r="340" spans="2:28" outlineLevel="1">
      <c r="B340" s="324" t="s">
        <v>1424</v>
      </c>
      <c r="C340" s="1422" t="s">
        <v>1420</v>
      </c>
      <c r="D340" s="1423"/>
      <c r="E340" s="1423"/>
      <c r="F340" s="1423"/>
      <c r="G340" s="1423"/>
      <c r="H340" s="1423"/>
      <c r="I340" s="1423"/>
      <c r="J340" s="1423"/>
      <c r="K340" s="1423"/>
      <c r="L340" s="1423"/>
      <c r="M340" s="1423"/>
      <c r="N340" s="1423"/>
      <c r="O340" s="1423"/>
      <c r="P340" s="1423"/>
      <c r="Q340" s="1424"/>
      <c r="S340" s="172"/>
      <c r="AB340" s="283"/>
    </row>
    <row r="341" spans="2:28" outlineLevel="1">
      <c r="B341" s="324" t="s">
        <v>1425</v>
      </c>
      <c r="C341" s="1422" t="s">
        <v>1417</v>
      </c>
      <c r="D341" s="1423"/>
      <c r="E341" s="1423"/>
      <c r="F341" s="1423"/>
      <c r="G341" s="1423"/>
      <c r="H341" s="1423"/>
      <c r="I341" s="1423"/>
      <c r="J341" s="1423"/>
      <c r="K341" s="1423"/>
      <c r="L341" s="1423"/>
      <c r="M341" s="1423"/>
      <c r="N341" s="1423"/>
      <c r="O341" s="1423"/>
      <c r="P341" s="1423"/>
      <c r="Q341" s="1424"/>
      <c r="S341" s="172"/>
      <c r="AB341" s="283"/>
    </row>
    <row r="342" spans="2:28" outlineLevel="1">
      <c r="B342" s="324" t="s">
        <v>1426</v>
      </c>
      <c r="C342" s="1422" t="s">
        <v>1417</v>
      </c>
      <c r="D342" s="1423"/>
      <c r="E342" s="1423"/>
      <c r="F342" s="1423"/>
      <c r="G342" s="1423"/>
      <c r="H342" s="1423"/>
      <c r="I342" s="1423"/>
      <c r="J342" s="1423"/>
      <c r="K342" s="1423"/>
      <c r="L342" s="1423"/>
      <c r="M342" s="1423"/>
      <c r="N342" s="1423"/>
      <c r="O342" s="1423"/>
      <c r="P342" s="1423"/>
      <c r="Q342" s="1424"/>
      <c r="S342" s="172"/>
      <c r="AB342" s="283"/>
    </row>
    <row r="343" spans="2:28" outlineLevel="1">
      <c r="B343" s="324" t="s">
        <v>1427</v>
      </c>
      <c r="C343" s="1422" t="s">
        <v>1417</v>
      </c>
      <c r="D343" s="1423"/>
      <c r="E343" s="1423"/>
      <c r="F343" s="1423"/>
      <c r="G343" s="1423"/>
      <c r="H343" s="1423"/>
      <c r="I343" s="1423"/>
      <c r="J343" s="1423"/>
      <c r="K343" s="1423"/>
      <c r="L343" s="1423"/>
      <c r="M343" s="1423"/>
      <c r="N343" s="1423"/>
      <c r="O343" s="1423"/>
      <c r="P343" s="1423"/>
      <c r="Q343" s="1424"/>
      <c r="S343" s="172"/>
      <c r="AB343" s="283"/>
    </row>
    <row r="344" spans="2:28" outlineLevel="1">
      <c r="B344" s="324" t="s">
        <v>1428</v>
      </c>
      <c r="C344" s="1422" t="s">
        <v>1417</v>
      </c>
      <c r="D344" s="1423"/>
      <c r="E344" s="1423"/>
      <c r="F344" s="1423"/>
      <c r="G344" s="1423"/>
      <c r="H344" s="1423"/>
      <c r="I344" s="1423"/>
      <c r="J344" s="1423"/>
      <c r="K344" s="1423"/>
      <c r="L344" s="1423"/>
      <c r="M344" s="1423"/>
      <c r="N344" s="1423"/>
      <c r="O344" s="1423"/>
      <c r="P344" s="1423"/>
      <c r="Q344" s="1424"/>
      <c r="S344" s="172"/>
      <c r="AB344" s="283"/>
    </row>
    <row r="345" spans="2:28" outlineLevel="1">
      <c r="B345" s="324" t="s">
        <v>1429</v>
      </c>
      <c r="C345" s="1422" t="s">
        <v>1417</v>
      </c>
      <c r="D345" s="1423"/>
      <c r="E345" s="1423"/>
      <c r="F345" s="1423"/>
      <c r="G345" s="1423"/>
      <c r="H345" s="1423"/>
      <c r="I345" s="1423"/>
      <c r="J345" s="1423"/>
      <c r="K345" s="1423"/>
      <c r="L345" s="1423"/>
      <c r="M345" s="1423"/>
      <c r="N345" s="1423"/>
      <c r="O345" s="1423"/>
      <c r="P345" s="1423"/>
      <c r="Q345" s="1424"/>
      <c r="S345" s="172"/>
      <c r="AB345" s="283"/>
    </row>
    <row r="346" spans="2:28" outlineLevel="1">
      <c r="B346" s="324" t="s">
        <v>1430</v>
      </c>
      <c r="C346" s="1422" t="s">
        <v>1417</v>
      </c>
      <c r="D346" s="1423"/>
      <c r="E346" s="1423"/>
      <c r="F346" s="1423"/>
      <c r="G346" s="1423"/>
      <c r="H346" s="1423"/>
      <c r="I346" s="1423"/>
      <c r="J346" s="1423"/>
      <c r="K346" s="1423"/>
      <c r="L346" s="1423"/>
      <c r="M346" s="1423"/>
      <c r="N346" s="1423"/>
      <c r="O346" s="1423"/>
      <c r="P346" s="1423"/>
      <c r="Q346" s="1424"/>
      <c r="S346" s="172"/>
      <c r="AB346" s="283"/>
    </row>
    <row r="347" spans="2:28" outlineLevel="1">
      <c r="B347" s="324" t="s">
        <v>1431</v>
      </c>
      <c r="C347" s="1422" t="s">
        <v>1417</v>
      </c>
      <c r="D347" s="1423"/>
      <c r="E347" s="1423"/>
      <c r="F347" s="1423"/>
      <c r="G347" s="1423"/>
      <c r="H347" s="1423"/>
      <c r="I347" s="1423"/>
      <c r="J347" s="1423"/>
      <c r="K347" s="1423"/>
      <c r="L347" s="1423"/>
      <c r="M347" s="1423"/>
      <c r="N347" s="1423"/>
      <c r="O347" s="1423"/>
      <c r="P347" s="1423"/>
      <c r="Q347" s="1424"/>
      <c r="S347" s="172"/>
      <c r="AB347" s="283"/>
    </row>
    <row r="348" spans="2:28" outlineLevel="1">
      <c r="B348" s="324" t="s">
        <v>1432</v>
      </c>
      <c r="C348" s="1422" t="s">
        <v>1417</v>
      </c>
      <c r="D348" s="1423"/>
      <c r="E348" s="1423"/>
      <c r="F348" s="1423"/>
      <c r="G348" s="1423"/>
      <c r="H348" s="1423"/>
      <c r="I348" s="1423"/>
      <c r="J348" s="1423"/>
      <c r="K348" s="1423"/>
      <c r="L348" s="1423"/>
      <c r="M348" s="1423"/>
      <c r="N348" s="1423"/>
      <c r="O348" s="1423"/>
      <c r="P348" s="1423"/>
      <c r="Q348" s="1424"/>
      <c r="S348" s="172"/>
      <c r="AB348" s="283"/>
    </row>
    <row r="349" spans="2:28" outlineLevel="1">
      <c r="B349" s="324" t="s">
        <v>1433</v>
      </c>
      <c r="C349" s="1422" t="s">
        <v>1417</v>
      </c>
      <c r="D349" s="1423"/>
      <c r="E349" s="1423"/>
      <c r="F349" s="1423"/>
      <c r="G349" s="1423"/>
      <c r="H349" s="1423"/>
      <c r="I349" s="1423"/>
      <c r="J349" s="1423"/>
      <c r="K349" s="1423"/>
      <c r="L349" s="1423"/>
      <c r="M349" s="1423"/>
      <c r="N349" s="1423"/>
      <c r="O349" s="1423"/>
      <c r="P349" s="1423"/>
      <c r="Q349" s="1424"/>
      <c r="S349" s="172"/>
      <c r="AB349" s="283"/>
    </row>
    <row r="350" spans="2:28" outlineLevel="1">
      <c r="B350" s="324" t="s">
        <v>1434</v>
      </c>
      <c r="C350" s="1422" t="s">
        <v>1435</v>
      </c>
      <c r="D350" s="1423"/>
      <c r="E350" s="1423"/>
      <c r="F350" s="1423"/>
      <c r="G350" s="1423"/>
      <c r="H350" s="1423"/>
      <c r="I350" s="1423"/>
      <c r="J350" s="1423"/>
      <c r="K350" s="1423"/>
      <c r="L350" s="1423"/>
      <c r="M350" s="1423"/>
      <c r="N350" s="1423"/>
      <c r="O350" s="1423"/>
      <c r="P350" s="1423"/>
      <c r="Q350" s="1424"/>
      <c r="S350" s="172"/>
      <c r="AB350" s="283"/>
    </row>
    <row r="351" spans="2:28" outlineLevel="1">
      <c r="B351" s="324" t="s">
        <v>1436</v>
      </c>
      <c r="C351" s="1422" t="s">
        <v>1435</v>
      </c>
      <c r="D351" s="1423"/>
      <c r="E351" s="1423"/>
      <c r="F351" s="1423"/>
      <c r="G351" s="1423"/>
      <c r="H351" s="1423"/>
      <c r="I351" s="1423"/>
      <c r="J351" s="1423"/>
      <c r="K351" s="1423"/>
      <c r="L351" s="1423"/>
      <c r="M351" s="1423"/>
      <c r="N351" s="1423"/>
      <c r="O351" s="1423"/>
      <c r="P351" s="1423"/>
      <c r="Q351" s="1424"/>
      <c r="S351" s="172"/>
      <c r="AB351" s="283"/>
    </row>
    <row r="352" spans="2:28" outlineLevel="1">
      <c r="B352" s="324" t="s">
        <v>1437</v>
      </c>
      <c r="C352" s="1422" t="s">
        <v>1435</v>
      </c>
      <c r="D352" s="1423"/>
      <c r="E352" s="1423"/>
      <c r="F352" s="1423"/>
      <c r="G352" s="1423"/>
      <c r="H352" s="1423"/>
      <c r="I352" s="1423"/>
      <c r="J352" s="1423"/>
      <c r="K352" s="1423"/>
      <c r="L352" s="1423"/>
      <c r="M352" s="1423"/>
      <c r="N352" s="1423"/>
      <c r="O352" s="1423"/>
      <c r="P352" s="1423"/>
      <c r="Q352" s="1424"/>
      <c r="S352" s="172"/>
      <c r="AB352" s="283"/>
    </row>
    <row r="353" spans="2:28" outlineLevel="1">
      <c r="B353" s="324" t="s">
        <v>1438</v>
      </c>
      <c r="C353" s="1422" t="s">
        <v>1435</v>
      </c>
      <c r="D353" s="1423"/>
      <c r="E353" s="1423"/>
      <c r="F353" s="1423"/>
      <c r="G353" s="1423"/>
      <c r="H353" s="1423"/>
      <c r="I353" s="1423"/>
      <c r="J353" s="1423"/>
      <c r="K353" s="1423"/>
      <c r="L353" s="1423"/>
      <c r="M353" s="1423"/>
      <c r="N353" s="1423"/>
      <c r="O353" s="1423"/>
      <c r="P353" s="1423"/>
      <c r="Q353" s="1424"/>
      <c r="S353" s="172"/>
      <c r="AB353" s="283"/>
    </row>
    <row r="354" spans="2:28" outlineLevel="1">
      <c r="B354" s="324" t="s">
        <v>1439</v>
      </c>
      <c r="C354" s="1422" t="s">
        <v>1440</v>
      </c>
      <c r="D354" s="1423"/>
      <c r="E354" s="1423"/>
      <c r="F354" s="1423"/>
      <c r="G354" s="1423"/>
      <c r="H354" s="1423"/>
      <c r="I354" s="1423"/>
      <c r="J354" s="1423"/>
      <c r="K354" s="1423"/>
      <c r="L354" s="1423"/>
      <c r="M354" s="1423"/>
      <c r="N354" s="1423"/>
      <c r="O354" s="1423"/>
      <c r="P354" s="1423"/>
      <c r="Q354" s="1424"/>
      <c r="S354" s="172"/>
      <c r="AB354" s="283"/>
    </row>
    <row r="355" spans="2:28" outlineLevel="1">
      <c r="B355" s="324" t="s">
        <v>1441</v>
      </c>
      <c r="C355" s="1422" t="s">
        <v>1435</v>
      </c>
      <c r="D355" s="1423"/>
      <c r="E355" s="1423"/>
      <c r="F355" s="1423"/>
      <c r="G355" s="1423"/>
      <c r="H355" s="1423"/>
      <c r="I355" s="1423"/>
      <c r="J355" s="1423"/>
      <c r="K355" s="1423"/>
      <c r="L355" s="1423"/>
      <c r="M355" s="1423"/>
      <c r="N355" s="1423"/>
      <c r="O355" s="1423"/>
      <c r="P355" s="1423"/>
      <c r="Q355" s="1424"/>
      <c r="S355" s="172"/>
      <c r="AB355" s="283"/>
    </row>
    <row r="356" spans="2:28" outlineLevel="1">
      <c r="B356" s="324" t="s">
        <v>1442</v>
      </c>
      <c r="C356" s="1422" t="s">
        <v>1443</v>
      </c>
      <c r="D356" s="1423"/>
      <c r="E356" s="1423"/>
      <c r="F356" s="1423"/>
      <c r="G356" s="1423"/>
      <c r="H356" s="1423"/>
      <c r="I356" s="1423"/>
      <c r="J356" s="1423"/>
      <c r="K356" s="1423"/>
      <c r="L356" s="1423"/>
      <c r="M356" s="1423"/>
      <c r="N356" s="1423"/>
      <c r="O356" s="1423"/>
      <c r="P356" s="1423"/>
      <c r="Q356" s="1424"/>
      <c r="S356" s="172"/>
      <c r="AB356" s="283"/>
    </row>
    <row r="357" spans="2:28" outlineLevel="1">
      <c r="B357" s="324" t="s">
        <v>1444</v>
      </c>
      <c r="C357" s="1422" t="s">
        <v>1440</v>
      </c>
      <c r="D357" s="1423"/>
      <c r="E357" s="1423"/>
      <c r="F357" s="1423"/>
      <c r="G357" s="1423"/>
      <c r="H357" s="1423"/>
      <c r="I357" s="1423"/>
      <c r="J357" s="1423"/>
      <c r="K357" s="1423"/>
      <c r="L357" s="1423"/>
      <c r="M357" s="1423"/>
      <c r="N357" s="1423"/>
      <c r="O357" s="1423"/>
      <c r="P357" s="1423"/>
      <c r="Q357" s="1424"/>
      <c r="S357" s="172"/>
      <c r="AB357" s="283"/>
    </row>
    <row r="358" spans="2:28" outlineLevel="1">
      <c r="B358" s="324" t="s">
        <v>1445</v>
      </c>
      <c r="C358" s="1422" t="s">
        <v>1440</v>
      </c>
      <c r="D358" s="1423"/>
      <c r="E358" s="1423"/>
      <c r="F358" s="1423"/>
      <c r="G358" s="1423"/>
      <c r="H358" s="1423"/>
      <c r="I358" s="1423"/>
      <c r="J358" s="1423"/>
      <c r="K358" s="1423"/>
      <c r="L358" s="1423"/>
      <c r="M358" s="1423"/>
      <c r="N358" s="1423"/>
      <c r="O358" s="1423"/>
      <c r="P358" s="1423"/>
      <c r="Q358" s="1424"/>
      <c r="S358" s="172"/>
      <c r="AB358" s="283"/>
    </row>
    <row r="359" spans="2:28" outlineLevel="1">
      <c r="B359" s="324" t="s">
        <v>1446</v>
      </c>
      <c r="C359" s="1422" t="s">
        <v>1435</v>
      </c>
      <c r="D359" s="1423"/>
      <c r="E359" s="1423"/>
      <c r="F359" s="1423"/>
      <c r="G359" s="1423"/>
      <c r="H359" s="1423"/>
      <c r="I359" s="1423"/>
      <c r="J359" s="1423"/>
      <c r="K359" s="1423"/>
      <c r="L359" s="1423"/>
      <c r="M359" s="1423"/>
      <c r="N359" s="1423"/>
      <c r="O359" s="1423"/>
      <c r="P359" s="1423"/>
      <c r="Q359" s="1424"/>
      <c r="S359" s="172"/>
      <c r="AB359" s="283"/>
    </row>
    <row r="360" spans="2:28" outlineLevel="1">
      <c r="B360" s="324" t="s">
        <v>1447</v>
      </c>
      <c r="C360" s="1422" t="s">
        <v>1448</v>
      </c>
      <c r="D360" s="1423"/>
      <c r="E360" s="1423"/>
      <c r="F360" s="1423"/>
      <c r="G360" s="1423"/>
      <c r="H360" s="1423"/>
      <c r="I360" s="1423"/>
      <c r="J360" s="1423"/>
      <c r="K360" s="1423"/>
      <c r="L360" s="1423"/>
      <c r="M360" s="1423"/>
      <c r="N360" s="1423"/>
      <c r="O360" s="1423"/>
      <c r="P360" s="1423"/>
      <c r="Q360" s="1424"/>
      <c r="S360" s="172"/>
      <c r="AB360" s="283"/>
    </row>
    <row r="361" spans="2:28" outlineLevel="1">
      <c r="B361" s="324" t="s">
        <v>1449</v>
      </c>
      <c r="C361" s="1422" t="s">
        <v>1450</v>
      </c>
      <c r="D361" s="1423"/>
      <c r="E361" s="1423"/>
      <c r="F361" s="1423"/>
      <c r="G361" s="1423"/>
      <c r="H361" s="1423"/>
      <c r="I361" s="1423"/>
      <c r="J361" s="1423"/>
      <c r="K361" s="1423"/>
      <c r="L361" s="1423"/>
      <c r="M361" s="1423"/>
      <c r="N361" s="1423"/>
      <c r="O361" s="1423"/>
      <c r="P361" s="1423"/>
      <c r="Q361" s="1424"/>
      <c r="S361" s="172"/>
      <c r="AB361" s="283"/>
    </row>
    <row r="362" spans="2:28" outlineLevel="1">
      <c r="B362" s="324" t="s">
        <v>1451</v>
      </c>
      <c r="C362" s="1422" t="s">
        <v>1452</v>
      </c>
      <c r="D362" s="1423"/>
      <c r="E362" s="1423"/>
      <c r="F362" s="1423"/>
      <c r="G362" s="1423"/>
      <c r="H362" s="1423"/>
      <c r="I362" s="1423"/>
      <c r="J362" s="1423"/>
      <c r="K362" s="1423"/>
      <c r="L362" s="1423"/>
      <c r="M362" s="1423"/>
      <c r="N362" s="1423"/>
      <c r="O362" s="1423"/>
      <c r="P362" s="1423"/>
      <c r="Q362" s="1424"/>
      <c r="S362" s="172"/>
      <c r="AB362" s="283"/>
    </row>
    <row r="363" spans="2:28" outlineLevel="1">
      <c r="B363" s="324" t="s">
        <v>1453</v>
      </c>
      <c r="C363" s="1422" t="s">
        <v>1452</v>
      </c>
      <c r="D363" s="1423"/>
      <c r="E363" s="1423"/>
      <c r="F363" s="1423"/>
      <c r="G363" s="1423"/>
      <c r="H363" s="1423"/>
      <c r="I363" s="1423"/>
      <c r="J363" s="1423"/>
      <c r="K363" s="1423"/>
      <c r="L363" s="1423"/>
      <c r="M363" s="1423"/>
      <c r="N363" s="1423"/>
      <c r="O363" s="1423"/>
      <c r="P363" s="1423"/>
      <c r="Q363" s="1424"/>
      <c r="S363" s="172"/>
      <c r="AB363" s="283"/>
    </row>
    <row r="364" spans="2:28" outlineLevel="1">
      <c r="B364" s="324" t="s">
        <v>1454</v>
      </c>
      <c r="C364" s="1422" t="s">
        <v>1452</v>
      </c>
      <c r="D364" s="1423"/>
      <c r="E364" s="1423"/>
      <c r="F364" s="1423"/>
      <c r="G364" s="1423"/>
      <c r="H364" s="1423"/>
      <c r="I364" s="1423"/>
      <c r="J364" s="1423"/>
      <c r="K364" s="1423"/>
      <c r="L364" s="1423"/>
      <c r="M364" s="1423"/>
      <c r="N364" s="1423"/>
      <c r="O364" s="1423"/>
      <c r="P364" s="1423"/>
      <c r="Q364" s="1424"/>
      <c r="S364" s="172"/>
      <c r="AB364" s="283"/>
    </row>
    <row r="365" spans="2:28" outlineLevel="1">
      <c r="B365" s="324" t="s">
        <v>1455</v>
      </c>
      <c r="C365" s="1422" t="s">
        <v>1456</v>
      </c>
      <c r="D365" s="1423"/>
      <c r="E365" s="1423"/>
      <c r="F365" s="1423"/>
      <c r="G365" s="1423"/>
      <c r="H365" s="1423"/>
      <c r="I365" s="1423"/>
      <c r="J365" s="1423"/>
      <c r="K365" s="1423"/>
      <c r="L365" s="1423"/>
      <c r="M365" s="1423"/>
      <c r="N365" s="1423"/>
      <c r="O365" s="1423"/>
      <c r="P365" s="1423"/>
      <c r="Q365" s="1424"/>
      <c r="S365" s="172"/>
      <c r="AB365" s="283"/>
    </row>
    <row r="366" spans="2:28" outlineLevel="1">
      <c r="B366" s="324" t="s">
        <v>1457</v>
      </c>
      <c r="C366" s="1422" t="s">
        <v>1458</v>
      </c>
      <c r="D366" s="1423"/>
      <c r="E366" s="1423"/>
      <c r="F366" s="1423"/>
      <c r="G366" s="1423"/>
      <c r="H366" s="1423"/>
      <c r="I366" s="1423"/>
      <c r="J366" s="1423"/>
      <c r="K366" s="1423"/>
      <c r="L366" s="1423"/>
      <c r="M366" s="1423"/>
      <c r="N366" s="1423"/>
      <c r="O366" s="1423"/>
      <c r="P366" s="1423"/>
      <c r="Q366" s="1424"/>
      <c r="S366" s="172"/>
      <c r="AB366" s="283"/>
    </row>
    <row r="367" spans="2:28" outlineLevel="1">
      <c r="B367" s="324" t="s">
        <v>1459</v>
      </c>
      <c r="C367" s="1422" t="s">
        <v>1458</v>
      </c>
      <c r="D367" s="1423"/>
      <c r="E367" s="1423"/>
      <c r="F367" s="1423"/>
      <c r="G367" s="1423"/>
      <c r="H367" s="1423"/>
      <c r="I367" s="1423"/>
      <c r="J367" s="1423"/>
      <c r="K367" s="1423"/>
      <c r="L367" s="1423"/>
      <c r="M367" s="1423"/>
      <c r="N367" s="1423"/>
      <c r="O367" s="1423"/>
      <c r="P367" s="1423"/>
      <c r="Q367" s="1424"/>
      <c r="S367" s="172"/>
      <c r="AB367" s="283"/>
    </row>
    <row r="368" spans="2:28" outlineLevel="1">
      <c r="B368" s="324" t="s">
        <v>1460</v>
      </c>
      <c r="C368" s="1422" t="s">
        <v>1461</v>
      </c>
      <c r="D368" s="1423"/>
      <c r="E368" s="1423"/>
      <c r="F368" s="1423"/>
      <c r="G368" s="1423"/>
      <c r="H368" s="1423"/>
      <c r="I368" s="1423"/>
      <c r="J368" s="1423"/>
      <c r="K368" s="1423"/>
      <c r="L368" s="1423"/>
      <c r="M368" s="1423"/>
      <c r="N368" s="1423"/>
      <c r="O368" s="1423"/>
      <c r="P368" s="1423"/>
      <c r="Q368" s="1424"/>
      <c r="S368" s="172"/>
      <c r="AB368" s="283"/>
    </row>
    <row r="369" spans="2:28" outlineLevel="1">
      <c r="B369" s="324" t="s">
        <v>1462</v>
      </c>
      <c r="C369" s="1422" t="s">
        <v>1463</v>
      </c>
      <c r="D369" s="1423"/>
      <c r="E369" s="1423"/>
      <c r="F369" s="1423"/>
      <c r="G369" s="1423"/>
      <c r="H369" s="1423"/>
      <c r="I369" s="1423"/>
      <c r="J369" s="1423"/>
      <c r="K369" s="1423"/>
      <c r="L369" s="1423"/>
      <c r="M369" s="1423"/>
      <c r="N369" s="1423"/>
      <c r="O369" s="1423"/>
      <c r="P369" s="1423"/>
      <c r="Q369" s="1424"/>
      <c r="S369" s="172"/>
      <c r="AB369" s="283"/>
    </row>
    <row r="370" spans="2:28" outlineLevel="1">
      <c r="B370" s="324" t="s">
        <v>1464</v>
      </c>
      <c r="C370" s="1422" t="s">
        <v>1463</v>
      </c>
      <c r="D370" s="1423"/>
      <c r="E370" s="1423"/>
      <c r="F370" s="1423"/>
      <c r="G370" s="1423"/>
      <c r="H370" s="1423"/>
      <c r="I370" s="1423"/>
      <c r="J370" s="1423"/>
      <c r="K370" s="1423"/>
      <c r="L370" s="1423"/>
      <c r="M370" s="1423"/>
      <c r="N370" s="1423"/>
      <c r="O370" s="1423"/>
      <c r="P370" s="1423"/>
      <c r="Q370" s="1424"/>
      <c r="S370" s="172"/>
      <c r="AB370" s="283"/>
    </row>
    <row r="371" spans="2:28" outlineLevel="1">
      <c r="B371" s="324" t="s">
        <v>1465</v>
      </c>
      <c r="C371" s="1422" t="s">
        <v>1463</v>
      </c>
      <c r="D371" s="1423"/>
      <c r="E371" s="1423"/>
      <c r="F371" s="1423"/>
      <c r="G371" s="1423"/>
      <c r="H371" s="1423"/>
      <c r="I371" s="1423"/>
      <c r="J371" s="1423"/>
      <c r="K371" s="1423"/>
      <c r="L371" s="1423"/>
      <c r="M371" s="1423"/>
      <c r="N371" s="1423"/>
      <c r="O371" s="1423"/>
      <c r="P371" s="1423"/>
      <c r="Q371" s="1424"/>
      <c r="S371" s="172"/>
      <c r="AB371" s="283"/>
    </row>
    <row r="372" spans="2:28" outlineLevel="1">
      <c r="B372" s="324" t="s">
        <v>1466</v>
      </c>
      <c r="C372" s="1422" t="s">
        <v>1443</v>
      </c>
      <c r="D372" s="1423"/>
      <c r="E372" s="1423"/>
      <c r="F372" s="1423"/>
      <c r="G372" s="1423"/>
      <c r="H372" s="1423"/>
      <c r="I372" s="1423"/>
      <c r="J372" s="1423"/>
      <c r="K372" s="1423"/>
      <c r="L372" s="1423"/>
      <c r="M372" s="1423"/>
      <c r="N372" s="1423"/>
      <c r="O372" s="1423"/>
      <c r="P372" s="1423"/>
      <c r="Q372" s="1424"/>
      <c r="S372" s="172"/>
      <c r="AB372" s="283"/>
    </row>
    <row r="373" spans="2:28" outlineLevel="1">
      <c r="B373" s="324" t="s">
        <v>1467</v>
      </c>
      <c r="C373" s="1422" t="s">
        <v>1443</v>
      </c>
      <c r="D373" s="1423"/>
      <c r="E373" s="1423"/>
      <c r="F373" s="1423"/>
      <c r="G373" s="1423"/>
      <c r="H373" s="1423"/>
      <c r="I373" s="1423"/>
      <c r="J373" s="1423"/>
      <c r="K373" s="1423"/>
      <c r="L373" s="1423"/>
      <c r="M373" s="1423"/>
      <c r="N373" s="1423"/>
      <c r="O373" s="1423"/>
      <c r="P373" s="1423"/>
      <c r="Q373" s="1424"/>
      <c r="S373" s="172"/>
      <c r="AB373" s="283"/>
    </row>
    <row r="374" spans="2:28" outlineLevel="1">
      <c r="B374" s="324" t="s">
        <v>1468</v>
      </c>
      <c r="C374" s="1422" t="s">
        <v>1443</v>
      </c>
      <c r="D374" s="1423"/>
      <c r="E374" s="1423"/>
      <c r="F374" s="1423"/>
      <c r="G374" s="1423"/>
      <c r="H374" s="1423"/>
      <c r="I374" s="1423"/>
      <c r="J374" s="1423"/>
      <c r="K374" s="1423"/>
      <c r="L374" s="1423"/>
      <c r="M374" s="1423"/>
      <c r="N374" s="1423"/>
      <c r="O374" s="1423"/>
      <c r="P374" s="1423"/>
      <c r="Q374" s="1424"/>
      <c r="S374" s="172"/>
      <c r="AB374" s="283"/>
    </row>
    <row r="375" spans="2:28" outlineLevel="1">
      <c r="B375" s="324" t="s">
        <v>1469</v>
      </c>
      <c r="C375" s="1422" t="s">
        <v>1448</v>
      </c>
      <c r="D375" s="1423"/>
      <c r="E375" s="1423"/>
      <c r="F375" s="1423"/>
      <c r="G375" s="1423"/>
      <c r="H375" s="1423"/>
      <c r="I375" s="1423"/>
      <c r="J375" s="1423"/>
      <c r="K375" s="1423"/>
      <c r="L375" s="1423"/>
      <c r="M375" s="1423"/>
      <c r="N375" s="1423"/>
      <c r="O375" s="1423"/>
      <c r="P375" s="1423"/>
      <c r="Q375" s="1424"/>
      <c r="S375" s="172"/>
      <c r="AB375" s="283"/>
    </row>
    <row r="376" spans="2:28" outlineLevel="1">
      <c r="B376" s="324" t="s">
        <v>1470</v>
      </c>
      <c r="C376" s="1422" t="s">
        <v>1452</v>
      </c>
      <c r="D376" s="1423"/>
      <c r="E376" s="1423"/>
      <c r="F376" s="1423"/>
      <c r="G376" s="1423"/>
      <c r="H376" s="1423"/>
      <c r="I376" s="1423"/>
      <c r="J376" s="1423"/>
      <c r="K376" s="1423"/>
      <c r="L376" s="1423"/>
      <c r="M376" s="1423"/>
      <c r="N376" s="1423"/>
      <c r="O376" s="1423"/>
      <c r="P376" s="1423"/>
      <c r="Q376" s="1424"/>
      <c r="S376" s="172"/>
      <c r="AB376" s="283"/>
    </row>
    <row r="377" spans="2:28" outlineLevel="1">
      <c r="B377" s="324" t="s">
        <v>1471</v>
      </c>
      <c r="C377" s="1422" t="s">
        <v>1472</v>
      </c>
      <c r="D377" s="1423"/>
      <c r="E377" s="1423"/>
      <c r="F377" s="1423"/>
      <c r="G377" s="1423"/>
      <c r="H377" s="1423"/>
      <c r="I377" s="1423"/>
      <c r="J377" s="1423"/>
      <c r="K377" s="1423"/>
      <c r="L377" s="1423"/>
      <c r="M377" s="1423"/>
      <c r="N377" s="1423"/>
      <c r="O377" s="1423"/>
      <c r="P377" s="1423"/>
      <c r="Q377" s="1424"/>
      <c r="S377" s="172"/>
      <c r="AB377" s="283"/>
    </row>
    <row r="378" spans="2:28" outlineLevel="1">
      <c r="B378" s="324" t="s">
        <v>1473</v>
      </c>
      <c r="C378" s="1422" t="s">
        <v>1472</v>
      </c>
      <c r="D378" s="1423"/>
      <c r="E378" s="1423"/>
      <c r="F378" s="1423"/>
      <c r="G378" s="1423"/>
      <c r="H378" s="1423"/>
      <c r="I378" s="1423"/>
      <c r="J378" s="1423"/>
      <c r="K378" s="1423"/>
      <c r="L378" s="1423"/>
      <c r="M378" s="1423"/>
      <c r="N378" s="1423"/>
      <c r="O378" s="1423"/>
      <c r="P378" s="1423"/>
      <c r="Q378" s="1424"/>
      <c r="S378" s="172"/>
      <c r="AB378" s="283"/>
    </row>
    <row r="379" spans="2:28" outlineLevel="1">
      <c r="B379" s="324" t="s">
        <v>1474</v>
      </c>
      <c r="C379" s="1422" t="s">
        <v>1475</v>
      </c>
      <c r="D379" s="1423"/>
      <c r="E379" s="1423"/>
      <c r="F379" s="1423"/>
      <c r="G379" s="1423"/>
      <c r="H379" s="1423"/>
      <c r="I379" s="1423"/>
      <c r="J379" s="1423"/>
      <c r="K379" s="1423"/>
      <c r="L379" s="1423"/>
      <c r="M379" s="1423"/>
      <c r="N379" s="1423"/>
      <c r="O379" s="1423"/>
      <c r="P379" s="1423"/>
      <c r="Q379" s="1424"/>
      <c r="S379" s="172"/>
      <c r="AB379" s="283"/>
    </row>
    <row r="380" spans="2:28" outlineLevel="1">
      <c r="B380" s="324" t="s">
        <v>666</v>
      </c>
      <c r="C380" s="1422" t="s">
        <v>1475</v>
      </c>
      <c r="D380" s="1423"/>
      <c r="E380" s="1423"/>
      <c r="F380" s="1423"/>
      <c r="G380" s="1423"/>
      <c r="H380" s="1423"/>
      <c r="I380" s="1423"/>
      <c r="J380" s="1423"/>
      <c r="K380" s="1423"/>
      <c r="L380" s="1423"/>
      <c r="M380" s="1423"/>
      <c r="N380" s="1423"/>
      <c r="O380" s="1423"/>
      <c r="P380" s="1423"/>
      <c r="Q380" s="1424"/>
      <c r="S380" s="172"/>
      <c r="AB380" s="283"/>
    </row>
    <row r="381" spans="2:28" outlineLevel="1">
      <c r="B381" s="324" t="s">
        <v>1476</v>
      </c>
      <c r="C381" s="1422" t="s">
        <v>1477</v>
      </c>
      <c r="D381" s="1423"/>
      <c r="E381" s="1423"/>
      <c r="F381" s="1423"/>
      <c r="G381" s="1423"/>
      <c r="H381" s="1423"/>
      <c r="I381" s="1423"/>
      <c r="J381" s="1423"/>
      <c r="K381" s="1423"/>
      <c r="L381" s="1423"/>
      <c r="M381" s="1423"/>
      <c r="N381" s="1423"/>
      <c r="O381" s="1423"/>
      <c r="P381" s="1423"/>
      <c r="Q381" s="1424"/>
      <c r="S381" s="172"/>
      <c r="AB381" s="283"/>
    </row>
    <row r="382" spans="2:28" outlineLevel="1">
      <c r="B382" s="324" t="s">
        <v>1478</v>
      </c>
      <c r="C382" s="1422" t="s">
        <v>1477</v>
      </c>
      <c r="D382" s="1423"/>
      <c r="E382" s="1423"/>
      <c r="F382" s="1423"/>
      <c r="G382" s="1423"/>
      <c r="H382" s="1423"/>
      <c r="I382" s="1423"/>
      <c r="J382" s="1423"/>
      <c r="K382" s="1423"/>
      <c r="L382" s="1423"/>
      <c r="M382" s="1423"/>
      <c r="N382" s="1423"/>
      <c r="O382" s="1423"/>
      <c r="P382" s="1423"/>
      <c r="Q382" s="1424"/>
      <c r="S382" s="172"/>
      <c r="AB382" s="283"/>
    </row>
    <row r="383" spans="2:28" outlineLevel="1">
      <c r="B383" s="324" t="s">
        <v>1479</v>
      </c>
      <c r="C383" s="1422" t="s">
        <v>1477</v>
      </c>
      <c r="D383" s="1423"/>
      <c r="E383" s="1423"/>
      <c r="F383" s="1423"/>
      <c r="G383" s="1423"/>
      <c r="H383" s="1423"/>
      <c r="I383" s="1423"/>
      <c r="J383" s="1423"/>
      <c r="K383" s="1423"/>
      <c r="L383" s="1423"/>
      <c r="M383" s="1423"/>
      <c r="N383" s="1423"/>
      <c r="O383" s="1423"/>
      <c r="P383" s="1423"/>
      <c r="Q383" s="1424"/>
      <c r="S383" s="172"/>
      <c r="AB383" s="283"/>
    </row>
    <row r="384" spans="2:28" outlineLevel="1">
      <c r="B384" s="324" t="s">
        <v>677</v>
      </c>
      <c r="C384" s="1422" t="s">
        <v>1477</v>
      </c>
      <c r="D384" s="1423"/>
      <c r="E384" s="1423"/>
      <c r="F384" s="1423"/>
      <c r="G384" s="1423"/>
      <c r="H384" s="1423"/>
      <c r="I384" s="1423"/>
      <c r="J384" s="1423"/>
      <c r="K384" s="1423"/>
      <c r="L384" s="1423"/>
      <c r="M384" s="1423"/>
      <c r="N384" s="1423"/>
      <c r="O384" s="1423"/>
      <c r="P384" s="1423"/>
      <c r="Q384" s="1424"/>
      <c r="S384" s="172"/>
      <c r="AB384" s="283"/>
    </row>
    <row r="385" spans="2:28" outlineLevel="1">
      <c r="B385" s="324" t="s">
        <v>1480</v>
      </c>
      <c r="C385" s="1422" t="s">
        <v>1477</v>
      </c>
      <c r="D385" s="1423"/>
      <c r="E385" s="1423"/>
      <c r="F385" s="1423"/>
      <c r="G385" s="1423"/>
      <c r="H385" s="1423"/>
      <c r="I385" s="1423"/>
      <c r="J385" s="1423"/>
      <c r="K385" s="1423"/>
      <c r="L385" s="1423"/>
      <c r="M385" s="1423"/>
      <c r="N385" s="1423"/>
      <c r="O385" s="1423"/>
      <c r="P385" s="1423"/>
      <c r="Q385" s="1424"/>
      <c r="S385" s="172"/>
      <c r="AB385" s="283"/>
    </row>
    <row r="386" spans="2:28" outlineLevel="1">
      <c r="B386" s="324" t="s">
        <v>1481</v>
      </c>
      <c r="C386" s="1422" t="s">
        <v>1477</v>
      </c>
      <c r="D386" s="1423"/>
      <c r="E386" s="1423"/>
      <c r="F386" s="1423"/>
      <c r="G386" s="1423"/>
      <c r="H386" s="1423"/>
      <c r="I386" s="1423"/>
      <c r="J386" s="1423"/>
      <c r="K386" s="1423"/>
      <c r="L386" s="1423"/>
      <c r="M386" s="1423"/>
      <c r="N386" s="1423"/>
      <c r="O386" s="1423"/>
      <c r="P386" s="1423"/>
      <c r="Q386" s="1424"/>
      <c r="S386" s="172"/>
      <c r="AB386" s="283"/>
    </row>
    <row r="387" spans="2:28" outlineLevel="1">
      <c r="B387" s="324" t="s">
        <v>1482</v>
      </c>
      <c r="C387" s="1422" t="s">
        <v>1477</v>
      </c>
      <c r="D387" s="1423"/>
      <c r="E387" s="1423"/>
      <c r="F387" s="1423"/>
      <c r="G387" s="1423"/>
      <c r="H387" s="1423"/>
      <c r="I387" s="1423"/>
      <c r="J387" s="1423"/>
      <c r="K387" s="1423"/>
      <c r="L387" s="1423"/>
      <c r="M387" s="1423"/>
      <c r="N387" s="1423"/>
      <c r="O387" s="1423"/>
      <c r="P387" s="1423"/>
      <c r="Q387" s="1424"/>
      <c r="S387" s="172"/>
      <c r="AB387" s="283"/>
    </row>
    <row r="388" spans="2:28" outlineLevel="1">
      <c r="B388" s="324" t="s">
        <v>1483</v>
      </c>
      <c r="C388" s="1422" t="s">
        <v>1477</v>
      </c>
      <c r="D388" s="1423"/>
      <c r="E388" s="1423"/>
      <c r="F388" s="1423"/>
      <c r="G388" s="1423"/>
      <c r="H388" s="1423"/>
      <c r="I388" s="1423"/>
      <c r="J388" s="1423"/>
      <c r="K388" s="1423"/>
      <c r="L388" s="1423"/>
      <c r="M388" s="1423"/>
      <c r="N388" s="1423"/>
      <c r="O388" s="1423"/>
      <c r="P388" s="1423"/>
      <c r="Q388" s="1424"/>
      <c r="S388" s="172"/>
      <c r="AB388" s="283"/>
    </row>
    <row r="389" spans="2:28" outlineLevel="1">
      <c r="B389" s="324" t="s">
        <v>1484</v>
      </c>
      <c r="C389" s="1422" t="s">
        <v>1485</v>
      </c>
      <c r="D389" s="1423"/>
      <c r="E389" s="1423"/>
      <c r="F389" s="1423"/>
      <c r="G389" s="1423"/>
      <c r="H389" s="1423"/>
      <c r="I389" s="1423"/>
      <c r="J389" s="1423"/>
      <c r="K389" s="1423"/>
      <c r="L389" s="1423"/>
      <c r="M389" s="1423"/>
      <c r="N389" s="1423"/>
      <c r="O389" s="1423"/>
      <c r="P389" s="1423"/>
      <c r="Q389" s="1424"/>
      <c r="S389" s="172"/>
      <c r="AB389" s="283"/>
    </row>
    <row r="390" spans="2:28" outlineLevel="1">
      <c r="B390" s="324" t="s">
        <v>690</v>
      </c>
      <c r="C390" s="1422" t="s">
        <v>1485</v>
      </c>
      <c r="D390" s="1423"/>
      <c r="E390" s="1423"/>
      <c r="F390" s="1423"/>
      <c r="G390" s="1423"/>
      <c r="H390" s="1423"/>
      <c r="I390" s="1423"/>
      <c r="J390" s="1423"/>
      <c r="K390" s="1423"/>
      <c r="L390" s="1423"/>
      <c r="M390" s="1423"/>
      <c r="N390" s="1423"/>
      <c r="O390" s="1423"/>
      <c r="P390" s="1423"/>
      <c r="Q390" s="1424"/>
      <c r="S390" s="172"/>
      <c r="AB390" s="283"/>
    </row>
    <row r="391" spans="2:28" outlineLevel="1">
      <c r="B391" s="324" t="s">
        <v>1486</v>
      </c>
      <c r="C391" s="1422" t="s">
        <v>1487</v>
      </c>
      <c r="D391" s="1423"/>
      <c r="E391" s="1423"/>
      <c r="F391" s="1423"/>
      <c r="G391" s="1423"/>
      <c r="H391" s="1423"/>
      <c r="I391" s="1423"/>
      <c r="J391" s="1423"/>
      <c r="K391" s="1423"/>
      <c r="L391" s="1423"/>
      <c r="M391" s="1423"/>
      <c r="N391" s="1423"/>
      <c r="O391" s="1423"/>
      <c r="P391" s="1423"/>
      <c r="Q391" s="1424"/>
      <c r="S391" s="172"/>
      <c r="AB391" s="283"/>
    </row>
    <row r="392" spans="2:28" outlineLevel="1">
      <c r="B392" s="324" t="s">
        <v>1488</v>
      </c>
      <c r="C392" s="1422" t="s">
        <v>1489</v>
      </c>
      <c r="D392" s="1423"/>
      <c r="E392" s="1423"/>
      <c r="F392" s="1423"/>
      <c r="G392" s="1423"/>
      <c r="H392" s="1423"/>
      <c r="I392" s="1423"/>
      <c r="J392" s="1423"/>
      <c r="K392" s="1423"/>
      <c r="L392" s="1423"/>
      <c r="M392" s="1423"/>
      <c r="N392" s="1423"/>
      <c r="O392" s="1423"/>
      <c r="P392" s="1423"/>
      <c r="Q392" s="1424"/>
      <c r="S392" s="172"/>
      <c r="AB392" s="283"/>
    </row>
    <row r="393" spans="2:28" outlineLevel="1">
      <c r="B393" s="324" t="s">
        <v>1490</v>
      </c>
      <c r="C393" s="1422" t="s">
        <v>1489</v>
      </c>
      <c r="D393" s="1423"/>
      <c r="E393" s="1423"/>
      <c r="F393" s="1423"/>
      <c r="G393" s="1423"/>
      <c r="H393" s="1423"/>
      <c r="I393" s="1423"/>
      <c r="J393" s="1423"/>
      <c r="K393" s="1423"/>
      <c r="L393" s="1423"/>
      <c r="M393" s="1423"/>
      <c r="N393" s="1423"/>
      <c r="O393" s="1423"/>
      <c r="P393" s="1423"/>
      <c r="Q393" s="1424"/>
      <c r="S393" s="172"/>
      <c r="AB393" s="283"/>
    </row>
    <row r="394" spans="2:28" outlineLevel="1">
      <c r="B394" s="324" t="s">
        <v>1491</v>
      </c>
      <c r="C394" s="1422" t="s">
        <v>1489</v>
      </c>
      <c r="D394" s="1423"/>
      <c r="E394" s="1423"/>
      <c r="F394" s="1423"/>
      <c r="G394" s="1423"/>
      <c r="H394" s="1423"/>
      <c r="I394" s="1423"/>
      <c r="J394" s="1423"/>
      <c r="K394" s="1423"/>
      <c r="L394" s="1423"/>
      <c r="M394" s="1423"/>
      <c r="N394" s="1423"/>
      <c r="O394" s="1423"/>
      <c r="P394" s="1423"/>
      <c r="Q394" s="1424"/>
      <c r="S394" s="172"/>
      <c r="AB394" s="283"/>
    </row>
    <row r="395" spans="2:28" outlineLevel="1">
      <c r="B395" s="324" t="s">
        <v>1492</v>
      </c>
      <c r="C395" s="1422" t="s">
        <v>1489</v>
      </c>
      <c r="D395" s="1423"/>
      <c r="E395" s="1423"/>
      <c r="F395" s="1423"/>
      <c r="G395" s="1423"/>
      <c r="H395" s="1423"/>
      <c r="I395" s="1423"/>
      <c r="J395" s="1423"/>
      <c r="K395" s="1423"/>
      <c r="L395" s="1423"/>
      <c r="M395" s="1423"/>
      <c r="N395" s="1423"/>
      <c r="O395" s="1423"/>
      <c r="P395" s="1423"/>
      <c r="Q395" s="1424"/>
      <c r="S395" s="172"/>
      <c r="AB395" s="283"/>
    </row>
    <row r="396" spans="2:28" outlineLevel="1">
      <c r="B396" s="324" t="s">
        <v>685</v>
      </c>
      <c r="C396" s="1422" t="s">
        <v>1493</v>
      </c>
      <c r="D396" s="1423"/>
      <c r="E396" s="1423"/>
      <c r="F396" s="1423"/>
      <c r="G396" s="1423"/>
      <c r="H396" s="1423"/>
      <c r="I396" s="1423"/>
      <c r="J396" s="1423"/>
      <c r="K396" s="1423"/>
      <c r="L396" s="1423"/>
      <c r="M396" s="1423"/>
      <c r="N396" s="1423"/>
      <c r="O396" s="1423"/>
      <c r="P396" s="1423"/>
      <c r="Q396" s="1424"/>
      <c r="S396" s="172"/>
      <c r="AB396" s="283"/>
    </row>
    <row r="397" spans="2:28" outlineLevel="1">
      <c r="B397" s="324" t="s">
        <v>686</v>
      </c>
      <c r="C397" s="1422" t="s">
        <v>1494</v>
      </c>
      <c r="D397" s="1423"/>
      <c r="E397" s="1423"/>
      <c r="F397" s="1423"/>
      <c r="G397" s="1423"/>
      <c r="H397" s="1423"/>
      <c r="I397" s="1423"/>
      <c r="J397" s="1423"/>
      <c r="K397" s="1423"/>
      <c r="L397" s="1423"/>
      <c r="M397" s="1423"/>
      <c r="N397" s="1423"/>
      <c r="O397" s="1423"/>
      <c r="P397" s="1423"/>
      <c r="Q397" s="1424"/>
      <c r="S397" s="172"/>
      <c r="AB397" s="283"/>
    </row>
    <row r="398" spans="2:28" outlineLevel="1">
      <c r="B398" s="324" t="s">
        <v>687</v>
      </c>
      <c r="C398" s="1422" t="s">
        <v>1495</v>
      </c>
      <c r="D398" s="1423"/>
      <c r="E398" s="1423"/>
      <c r="F398" s="1423"/>
      <c r="G398" s="1423"/>
      <c r="H398" s="1423"/>
      <c r="I398" s="1423"/>
      <c r="J398" s="1423"/>
      <c r="K398" s="1423"/>
      <c r="L398" s="1423"/>
      <c r="M398" s="1423"/>
      <c r="N398" s="1423"/>
      <c r="O398" s="1423"/>
      <c r="P398" s="1423"/>
      <c r="Q398" s="1424"/>
      <c r="S398" s="172"/>
      <c r="AB398" s="283"/>
    </row>
    <row r="399" spans="2:28" outlineLevel="1">
      <c r="B399" s="324" t="s">
        <v>689</v>
      </c>
      <c r="C399" s="1422" t="s">
        <v>1496</v>
      </c>
      <c r="D399" s="1423"/>
      <c r="E399" s="1423"/>
      <c r="F399" s="1423"/>
      <c r="G399" s="1423"/>
      <c r="H399" s="1423"/>
      <c r="I399" s="1423"/>
      <c r="J399" s="1423"/>
      <c r="K399" s="1423"/>
      <c r="L399" s="1423"/>
      <c r="M399" s="1423"/>
      <c r="N399" s="1423"/>
      <c r="O399" s="1423"/>
      <c r="P399" s="1423"/>
      <c r="Q399" s="1424"/>
      <c r="S399" s="172"/>
      <c r="AB399" s="283"/>
    </row>
    <row r="400" spans="2:28" outlineLevel="1">
      <c r="B400" s="324" t="s">
        <v>691</v>
      </c>
      <c r="C400" s="1422" t="s">
        <v>1497</v>
      </c>
      <c r="D400" s="1423"/>
      <c r="E400" s="1423"/>
      <c r="F400" s="1423"/>
      <c r="G400" s="1423"/>
      <c r="H400" s="1423"/>
      <c r="I400" s="1423"/>
      <c r="J400" s="1423"/>
      <c r="K400" s="1423"/>
      <c r="L400" s="1423"/>
      <c r="M400" s="1423"/>
      <c r="N400" s="1423"/>
      <c r="O400" s="1423"/>
      <c r="P400" s="1423"/>
      <c r="Q400" s="1424"/>
      <c r="S400" s="172"/>
      <c r="AB400" s="283"/>
    </row>
    <row r="401" spans="2:28" outlineLevel="1">
      <c r="B401" s="324" t="s">
        <v>692</v>
      </c>
      <c r="C401" s="1422" t="s">
        <v>1497</v>
      </c>
      <c r="D401" s="1423"/>
      <c r="E401" s="1423"/>
      <c r="F401" s="1423"/>
      <c r="G401" s="1423"/>
      <c r="H401" s="1423"/>
      <c r="I401" s="1423"/>
      <c r="J401" s="1423"/>
      <c r="K401" s="1423"/>
      <c r="L401" s="1423"/>
      <c r="M401" s="1423"/>
      <c r="N401" s="1423"/>
      <c r="O401" s="1423"/>
      <c r="P401" s="1423"/>
      <c r="Q401" s="1424"/>
      <c r="S401" s="172"/>
      <c r="AB401" s="283"/>
    </row>
    <row r="402" spans="2:28" outlineLevel="1">
      <c r="B402" s="324" t="s">
        <v>693</v>
      </c>
      <c r="C402" s="1422" t="s">
        <v>1497</v>
      </c>
      <c r="D402" s="1423"/>
      <c r="E402" s="1423"/>
      <c r="F402" s="1423"/>
      <c r="G402" s="1423"/>
      <c r="H402" s="1423"/>
      <c r="I402" s="1423"/>
      <c r="J402" s="1423"/>
      <c r="K402" s="1423"/>
      <c r="L402" s="1423"/>
      <c r="M402" s="1423"/>
      <c r="N402" s="1423"/>
      <c r="O402" s="1423"/>
      <c r="P402" s="1423"/>
      <c r="Q402" s="1424"/>
      <c r="S402" s="172"/>
      <c r="AB402" s="283"/>
    </row>
    <row r="403" spans="2:28" outlineLevel="1">
      <c r="B403" s="324" t="s">
        <v>694</v>
      </c>
      <c r="C403" s="1422" t="s">
        <v>1498</v>
      </c>
      <c r="D403" s="1423"/>
      <c r="E403" s="1423"/>
      <c r="F403" s="1423"/>
      <c r="G403" s="1423"/>
      <c r="H403" s="1423"/>
      <c r="I403" s="1423"/>
      <c r="J403" s="1423"/>
      <c r="K403" s="1423"/>
      <c r="L403" s="1423"/>
      <c r="M403" s="1423"/>
      <c r="N403" s="1423"/>
      <c r="O403" s="1423"/>
      <c r="P403" s="1423"/>
      <c r="Q403" s="1424"/>
      <c r="S403" s="172"/>
      <c r="AB403" s="283"/>
    </row>
    <row r="404" spans="2:28" outlineLevel="1">
      <c r="B404" s="324" t="s">
        <v>695</v>
      </c>
      <c r="C404" s="1422" t="s">
        <v>1498</v>
      </c>
      <c r="D404" s="1423"/>
      <c r="E404" s="1423"/>
      <c r="F404" s="1423"/>
      <c r="G404" s="1423"/>
      <c r="H404" s="1423"/>
      <c r="I404" s="1423"/>
      <c r="J404" s="1423"/>
      <c r="K404" s="1423"/>
      <c r="L404" s="1423"/>
      <c r="M404" s="1423"/>
      <c r="N404" s="1423"/>
      <c r="O404" s="1423"/>
      <c r="P404" s="1423"/>
      <c r="Q404" s="1424"/>
      <c r="S404" s="172"/>
      <c r="AB404" s="283"/>
    </row>
    <row r="405" spans="2:28" outlineLevel="1">
      <c r="B405" s="324" t="s">
        <v>696</v>
      </c>
      <c r="C405" s="1422" t="s">
        <v>1499</v>
      </c>
      <c r="D405" s="1423"/>
      <c r="E405" s="1423"/>
      <c r="F405" s="1423"/>
      <c r="G405" s="1423"/>
      <c r="H405" s="1423"/>
      <c r="I405" s="1423"/>
      <c r="J405" s="1423"/>
      <c r="K405" s="1423"/>
      <c r="L405" s="1423"/>
      <c r="M405" s="1423"/>
      <c r="N405" s="1423"/>
      <c r="O405" s="1423"/>
      <c r="P405" s="1423"/>
      <c r="Q405" s="1424"/>
      <c r="S405" s="172"/>
      <c r="AB405" s="283"/>
    </row>
    <row r="406" spans="2:28" outlineLevel="1">
      <c r="B406" s="324" t="s">
        <v>697</v>
      </c>
      <c r="C406" s="1422" t="s">
        <v>1499</v>
      </c>
      <c r="D406" s="1423"/>
      <c r="E406" s="1423"/>
      <c r="F406" s="1423"/>
      <c r="G406" s="1423"/>
      <c r="H406" s="1423"/>
      <c r="I406" s="1423"/>
      <c r="J406" s="1423"/>
      <c r="K406" s="1423"/>
      <c r="L406" s="1423"/>
      <c r="M406" s="1423"/>
      <c r="N406" s="1423"/>
      <c r="O406" s="1423"/>
      <c r="P406" s="1423"/>
      <c r="Q406" s="1424"/>
      <c r="S406" s="172"/>
      <c r="AB406" s="283"/>
    </row>
    <row r="407" spans="2:28" outlineLevel="1">
      <c r="B407" s="324" t="s">
        <v>659</v>
      </c>
      <c r="C407" s="1422" t="s">
        <v>1500</v>
      </c>
      <c r="D407" s="1423"/>
      <c r="E407" s="1423"/>
      <c r="F407" s="1423"/>
      <c r="G407" s="1423"/>
      <c r="H407" s="1423"/>
      <c r="I407" s="1423"/>
      <c r="J407" s="1423"/>
      <c r="K407" s="1423"/>
      <c r="L407" s="1423"/>
      <c r="M407" s="1423"/>
      <c r="N407" s="1423"/>
      <c r="O407" s="1423"/>
      <c r="P407" s="1423"/>
      <c r="Q407" s="1424"/>
      <c r="S407" s="172"/>
      <c r="AB407" s="283"/>
    </row>
    <row r="408" spans="2:28" outlineLevel="1">
      <c r="B408" s="324" t="s">
        <v>660</v>
      </c>
      <c r="C408" s="1422" t="s">
        <v>1500</v>
      </c>
      <c r="D408" s="1423"/>
      <c r="E408" s="1423"/>
      <c r="F408" s="1423"/>
      <c r="G408" s="1423"/>
      <c r="H408" s="1423"/>
      <c r="I408" s="1423"/>
      <c r="J408" s="1423"/>
      <c r="K408" s="1423"/>
      <c r="L408" s="1423"/>
      <c r="M408" s="1423"/>
      <c r="N408" s="1423"/>
      <c r="O408" s="1423"/>
      <c r="P408" s="1423"/>
      <c r="Q408" s="1424"/>
      <c r="S408" s="172"/>
      <c r="AB408" s="283"/>
    </row>
    <row r="409" spans="2:28" outlineLevel="1">
      <c r="B409" s="324" t="s">
        <v>662</v>
      </c>
      <c r="C409" s="1422" t="s">
        <v>1500</v>
      </c>
      <c r="D409" s="1423"/>
      <c r="E409" s="1423"/>
      <c r="F409" s="1423"/>
      <c r="G409" s="1423"/>
      <c r="H409" s="1423"/>
      <c r="I409" s="1423"/>
      <c r="J409" s="1423"/>
      <c r="K409" s="1423"/>
      <c r="L409" s="1423"/>
      <c r="M409" s="1423"/>
      <c r="N409" s="1423"/>
      <c r="O409" s="1423"/>
      <c r="P409" s="1423"/>
      <c r="Q409" s="1424"/>
      <c r="S409" s="172"/>
      <c r="AB409" s="283"/>
    </row>
    <row r="410" spans="2:28" outlineLevel="1">
      <c r="B410" s="324" t="s">
        <v>658</v>
      </c>
      <c r="C410" s="1422" t="s">
        <v>1237</v>
      </c>
      <c r="D410" s="1423"/>
      <c r="E410" s="1423"/>
      <c r="F410" s="1423"/>
      <c r="G410" s="1423"/>
      <c r="H410" s="1423"/>
      <c r="I410" s="1423"/>
      <c r="J410" s="1423"/>
      <c r="K410" s="1423"/>
      <c r="L410" s="1423"/>
      <c r="M410" s="1423"/>
      <c r="N410" s="1423"/>
      <c r="O410" s="1423"/>
      <c r="P410" s="1423"/>
      <c r="Q410" s="1424"/>
      <c r="S410" s="172"/>
      <c r="AB410" s="283"/>
    </row>
    <row r="411" spans="2:28" outlineLevel="1">
      <c r="B411" s="324" t="s">
        <v>663</v>
      </c>
      <c r="C411" s="1422" t="s">
        <v>1501</v>
      </c>
      <c r="D411" s="1423"/>
      <c r="E411" s="1423"/>
      <c r="F411" s="1423"/>
      <c r="G411" s="1423"/>
      <c r="H411" s="1423"/>
      <c r="I411" s="1423"/>
      <c r="J411" s="1423"/>
      <c r="K411" s="1423"/>
      <c r="L411" s="1423"/>
      <c r="M411" s="1423"/>
      <c r="N411" s="1423"/>
      <c r="O411" s="1423"/>
      <c r="P411" s="1423"/>
      <c r="Q411" s="1424"/>
      <c r="S411" s="172"/>
      <c r="AB411" s="283"/>
    </row>
    <row r="412" spans="2:28" outlineLevel="1">
      <c r="B412" s="324" t="s">
        <v>664</v>
      </c>
      <c r="C412" s="1422" t="s">
        <v>1501</v>
      </c>
      <c r="D412" s="1423"/>
      <c r="E412" s="1423"/>
      <c r="F412" s="1423"/>
      <c r="G412" s="1423"/>
      <c r="H412" s="1423"/>
      <c r="I412" s="1423"/>
      <c r="J412" s="1423"/>
      <c r="K412" s="1423"/>
      <c r="L412" s="1423"/>
      <c r="M412" s="1423"/>
      <c r="N412" s="1423"/>
      <c r="O412" s="1423"/>
      <c r="P412" s="1423"/>
      <c r="Q412" s="1424"/>
      <c r="S412" s="172"/>
      <c r="AB412" s="283"/>
    </row>
    <row r="413" spans="2:28" outlineLevel="1">
      <c r="B413" s="324" t="s">
        <v>665</v>
      </c>
      <c r="C413" s="1422" t="s">
        <v>1501</v>
      </c>
      <c r="D413" s="1423"/>
      <c r="E413" s="1423"/>
      <c r="F413" s="1423"/>
      <c r="G413" s="1423"/>
      <c r="H413" s="1423"/>
      <c r="I413" s="1423"/>
      <c r="J413" s="1423"/>
      <c r="K413" s="1423"/>
      <c r="L413" s="1423"/>
      <c r="M413" s="1423"/>
      <c r="N413" s="1423"/>
      <c r="O413" s="1423"/>
      <c r="P413" s="1423"/>
      <c r="Q413" s="1424"/>
      <c r="S413" s="172"/>
      <c r="AB413" s="283"/>
    </row>
    <row r="414" spans="2:28" outlineLevel="1">
      <c r="B414" s="324" t="s">
        <v>668</v>
      </c>
      <c r="C414" s="1422" t="s">
        <v>1493</v>
      </c>
      <c r="D414" s="1423"/>
      <c r="E414" s="1423"/>
      <c r="F414" s="1423"/>
      <c r="G414" s="1423"/>
      <c r="H414" s="1423"/>
      <c r="I414" s="1423"/>
      <c r="J414" s="1423"/>
      <c r="K414" s="1423"/>
      <c r="L414" s="1423"/>
      <c r="M414" s="1423"/>
      <c r="N414" s="1423"/>
      <c r="O414" s="1423"/>
      <c r="P414" s="1423"/>
      <c r="Q414" s="1424"/>
      <c r="S414" s="172"/>
      <c r="AB414" s="283"/>
    </row>
    <row r="415" spans="2:28" outlineLevel="1">
      <c r="B415" s="324" t="s">
        <v>669</v>
      </c>
      <c r="C415" s="1422" t="s">
        <v>1493</v>
      </c>
      <c r="D415" s="1423"/>
      <c r="E415" s="1423"/>
      <c r="F415" s="1423"/>
      <c r="G415" s="1423"/>
      <c r="H415" s="1423"/>
      <c r="I415" s="1423"/>
      <c r="J415" s="1423"/>
      <c r="K415" s="1423"/>
      <c r="L415" s="1423"/>
      <c r="M415" s="1423"/>
      <c r="N415" s="1423"/>
      <c r="O415" s="1423"/>
      <c r="P415" s="1423"/>
      <c r="Q415" s="1424"/>
      <c r="S415" s="172"/>
      <c r="AB415" s="283"/>
    </row>
    <row r="416" spans="2:28" outlineLevel="1">
      <c r="B416" s="324" t="s">
        <v>670</v>
      </c>
      <c r="C416" s="1422" t="s">
        <v>1493</v>
      </c>
      <c r="D416" s="1423"/>
      <c r="E416" s="1423"/>
      <c r="F416" s="1423"/>
      <c r="G416" s="1423"/>
      <c r="H416" s="1423"/>
      <c r="I416" s="1423"/>
      <c r="J416" s="1423"/>
      <c r="K416" s="1423"/>
      <c r="L416" s="1423"/>
      <c r="M416" s="1423"/>
      <c r="N416" s="1423"/>
      <c r="O416" s="1423"/>
      <c r="P416" s="1423"/>
      <c r="Q416" s="1424"/>
      <c r="S416" s="172"/>
      <c r="AB416" s="283"/>
    </row>
    <row r="417" spans="2:29" outlineLevel="1">
      <c r="B417" s="324" t="s">
        <v>671</v>
      </c>
      <c r="C417" s="1422" t="s">
        <v>1496</v>
      </c>
      <c r="D417" s="1423"/>
      <c r="E417" s="1423"/>
      <c r="F417" s="1423"/>
      <c r="G417" s="1423"/>
      <c r="H417" s="1423"/>
      <c r="I417" s="1423"/>
      <c r="J417" s="1423"/>
      <c r="K417" s="1423"/>
      <c r="L417" s="1423"/>
      <c r="M417" s="1423"/>
      <c r="N417" s="1423"/>
      <c r="O417" s="1423"/>
      <c r="P417" s="1423"/>
      <c r="Q417" s="1424"/>
      <c r="S417" s="172"/>
      <c r="AB417" s="283"/>
    </row>
    <row r="418" spans="2:29" outlineLevel="1">
      <c r="B418" s="324" t="s">
        <v>672</v>
      </c>
      <c r="C418" s="1422" t="s">
        <v>1496</v>
      </c>
      <c r="D418" s="1423"/>
      <c r="E418" s="1423"/>
      <c r="F418" s="1423"/>
      <c r="G418" s="1423"/>
      <c r="H418" s="1423"/>
      <c r="I418" s="1423"/>
      <c r="J418" s="1423"/>
      <c r="K418" s="1423"/>
      <c r="L418" s="1423"/>
      <c r="M418" s="1423"/>
      <c r="N418" s="1423"/>
      <c r="O418" s="1423"/>
      <c r="P418" s="1423"/>
      <c r="Q418" s="1424"/>
      <c r="S418" s="172"/>
      <c r="AB418" s="283"/>
    </row>
    <row r="419" spans="2:29" outlineLevel="1">
      <c r="B419" s="324" t="s">
        <v>673</v>
      </c>
      <c r="C419" s="1422" t="s">
        <v>1496</v>
      </c>
      <c r="D419" s="1423"/>
      <c r="E419" s="1423"/>
      <c r="F419" s="1423"/>
      <c r="G419" s="1423"/>
      <c r="H419" s="1423"/>
      <c r="I419" s="1423"/>
      <c r="J419" s="1423"/>
      <c r="K419" s="1423"/>
      <c r="L419" s="1423"/>
      <c r="M419" s="1423"/>
      <c r="N419" s="1423"/>
      <c r="O419" s="1423"/>
      <c r="P419" s="1423"/>
      <c r="Q419" s="1424"/>
      <c r="S419" s="172"/>
      <c r="AB419" s="283"/>
    </row>
    <row r="420" spans="2:29" outlineLevel="1">
      <c r="B420" s="324" t="s">
        <v>674</v>
      </c>
      <c r="C420" s="1422" t="s">
        <v>1496</v>
      </c>
      <c r="D420" s="1423"/>
      <c r="E420" s="1423"/>
      <c r="F420" s="1423"/>
      <c r="G420" s="1423"/>
      <c r="H420" s="1423"/>
      <c r="I420" s="1423"/>
      <c r="J420" s="1423"/>
      <c r="K420" s="1423"/>
      <c r="L420" s="1423"/>
      <c r="M420" s="1423"/>
      <c r="N420" s="1423"/>
      <c r="O420" s="1423"/>
      <c r="P420" s="1423"/>
      <c r="Q420" s="1424"/>
      <c r="S420" s="172"/>
      <c r="AB420" s="283"/>
    </row>
    <row r="421" spans="2:29" outlineLevel="1">
      <c r="B421" s="324" t="s">
        <v>675</v>
      </c>
      <c r="C421" s="1422" t="s">
        <v>1496</v>
      </c>
      <c r="D421" s="1423"/>
      <c r="E421" s="1423"/>
      <c r="F421" s="1423"/>
      <c r="G421" s="1423"/>
      <c r="H421" s="1423"/>
      <c r="I421" s="1423"/>
      <c r="J421" s="1423"/>
      <c r="K421" s="1423"/>
      <c r="L421" s="1423"/>
      <c r="M421" s="1423"/>
      <c r="N421" s="1423"/>
      <c r="O421" s="1423"/>
      <c r="P421" s="1423"/>
      <c r="Q421" s="1424"/>
      <c r="S421" s="172"/>
      <c r="AB421" s="283"/>
    </row>
    <row r="422" spans="2:29" outlineLevel="1">
      <c r="B422" s="324" t="s">
        <v>678</v>
      </c>
      <c r="C422" s="1422" t="s">
        <v>1496</v>
      </c>
      <c r="D422" s="1423"/>
      <c r="E422" s="1423"/>
      <c r="F422" s="1423"/>
      <c r="G422" s="1423"/>
      <c r="H422" s="1423"/>
      <c r="I422" s="1423"/>
      <c r="J422" s="1423"/>
      <c r="K422" s="1423"/>
      <c r="L422" s="1423"/>
      <c r="M422" s="1423"/>
      <c r="N422" s="1423"/>
      <c r="O422" s="1423"/>
      <c r="P422" s="1423"/>
      <c r="Q422" s="1424"/>
      <c r="S422" s="172"/>
      <c r="AB422" s="283"/>
    </row>
    <row r="423" spans="2:29" outlineLevel="1">
      <c r="B423" s="324" t="s">
        <v>679</v>
      </c>
      <c r="C423" s="1422" t="s">
        <v>1496</v>
      </c>
      <c r="D423" s="1423"/>
      <c r="E423" s="1423"/>
      <c r="F423" s="1423"/>
      <c r="G423" s="1423"/>
      <c r="H423" s="1423"/>
      <c r="I423" s="1423"/>
      <c r="J423" s="1423"/>
      <c r="K423" s="1423"/>
      <c r="L423" s="1423"/>
      <c r="M423" s="1423"/>
      <c r="N423" s="1423"/>
      <c r="O423" s="1423"/>
      <c r="P423" s="1423"/>
      <c r="Q423" s="1424"/>
      <c r="S423" s="172"/>
      <c r="AB423" s="283"/>
    </row>
    <row r="424" spans="2:29" outlineLevel="1">
      <c r="B424" s="324" t="s">
        <v>681</v>
      </c>
      <c r="C424" s="1422" t="s">
        <v>1502</v>
      </c>
      <c r="D424" s="1423"/>
      <c r="E424" s="1423"/>
      <c r="F424" s="1423"/>
      <c r="G424" s="1423"/>
      <c r="H424" s="1423"/>
      <c r="I424" s="1423"/>
      <c r="J424" s="1423"/>
      <c r="K424" s="1423"/>
      <c r="L424" s="1423"/>
      <c r="M424" s="1423"/>
      <c r="N424" s="1423"/>
      <c r="O424" s="1423"/>
      <c r="P424" s="1423"/>
      <c r="Q424" s="1424"/>
      <c r="S424" s="172"/>
      <c r="AB424" s="283"/>
    </row>
    <row r="425" spans="2:29" outlineLevel="1">
      <c r="B425" s="324"/>
      <c r="C425" s="1422"/>
      <c r="D425" s="1423"/>
      <c r="E425" s="1423"/>
      <c r="F425" s="1423"/>
      <c r="G425" s="1423"/>
      <c r="H425" s="1423"/>
      <c r="I425" s="1423"/>
      <c r="J425" s="1423"/>
      <c r="K425" s="1423"/>
      <c r="L425" s="1423"/>
      <c r="M425" s="1423"/>
      <c r="N425" s="1423"/>
      <c r="O425" s="1423"/>
      <c r="P425" s="1423"/>
      <c r="Q425" s="1424"/>
      <c r="S425" s="172"/>
      <c r="AB425" s="283"/>
    </row>
    <row r="426" spans="2:29">
      <c r="F426" s="169"/>
      <c r="G426" s="169"/>
      <c r="H426" s="169"/>
      <c r="I426" s="169"/>
      <c r="AB426" s="283"/>
    </row>
    <row r="427" spans="2:29">
      <c r="B427" s="312" t="s">
        <v>743</v>
      </c>
      <c r="C427" s="312"/>
      <c r="D427" s="171" t="s">
        <v>886</v>
      </c>
      <c r="E427" s="150"/>
      <c r="AB427" s="283"/>
    </row>
    <row r="428" spans="2:29" outlineLevel="1">
      <c r="D428" s="150"/>
      <c r="E428" s="150"/>
      <c r="AB428" s="283"/>
    </row>
    <row r="429" spans="2:29" ht="32.25" customHeight="1" outlineLevel="1">
      <c r="B429" s="780"/>
      <c r="C429" s="789" t="s">
        <v>1100</v>
      </c>
      <c r="D429" s="777" t="s">
        <v>599</v>
      </c>
      <c r="E429" s="778" t="s">
        <v>600</v>
      </c>
      <c r="F429" s="1460" t="s">
        <v>601</v>
      </c>
      <c r="G429" s="778" t="s">
        <v>653</v>
      </c>
      <c r="H429" s="777" t="s">
        <v>654</v>
      </c>
      <c r="I429" s="778" t="s">
        <v>655</v>
      </c>
      <c r="J429" s="789" t="s">
        <v>656</v>
      </c>
      <c r="K429" s="778" t="s">
        <v>653</v>
      </c>
      <c r="L429" s="777" t="s">
        <v>653</v>
      </c>
      <c r="M429" s="778" t="s">
        <v>653</v>
      </c>
      <c r="N429" s="777" t="s">
        <v>1127</v>
      </c>
      <c r="O429" s="778" t="s">
        <v>1127</v>
      </c>
      <c r="P429" s="777" t="s">
        <v>1127</v>
      </c>
      <c r="Q429" s="1186" t="s">
        <v>1121</v>
      </c>
      <c r="AB429" s="283"/>
    </row>
    <row r="430" spans="2:29" s="532" customFormat="1" ht="52.5" customHeight="1" outlineLevel="1">
      <c r="B430" s="526" t="s">
        <v>468</v>
      </c>
      <c r="C430" s="517"/>
      <c r="D430" s="517" t="s">
        <v>602</v>
      </c>
      <c r="E430" s="984" t="s">
        <v>602</v>
      </c>
      <c r="F430" s="1461"/>
      <c r="G430" s="993" t="s">
        <v>137</v>
      </c>
      <c r="H430" s="518" t="s">
        <v>137</v>
      </c>
      <c r="I430" s="994" t="s">
        <v>469</v>
      </c>
      <c r="J430" s="518" t="s">
        <v>657</v>
      </c>
      <c r="K430" s="993" t="s">
        <v>1128</v>
      </c>
      <c r="L430" s="519" t="s">
        <v>1129</v>
      </c>
      <c r="M430" s="995" t="s">
        <v>1130</v>
      </c>
      <c r="N430" s="518" t="s">
        <v>1128</v>
      </c>
      <c r="O430" s="995" t="s">
        <v>1131</v>
      </c>
      <c r="P430" s="519" t="s">
        <v>1130</v>
      </c>
      <c r="Q430" s="520" t="s">
        <v>153</v>
      </c>
      <c r="T430" s="528" t="s">
        <v>469</v>
      </c>
      <c r="U430" s="529" t="s">
        <v>469</v>
      </c>
      <c r="V430" s="529" t="s">
        <v>469</v>
      </c>
      <c r="W430" s="529" t="s">
        <v>469</v>
      </c>
      <c r="X430" s="529" t="s">
        <v>469</v>
      </c>
      <c r="Y430" s="529" t="s">
        <v>469</v>
      </c>
      <c r="Z430" s="529" t="s">
        <v>469</v>
      </c>
      <c r="AA430" s="530" t="s">
        <v>469</v>
      </c>
      <c r="AB430" s="531" t="s">
        <v>469</v>
      </c>
      <c r="AC430" s="529" t="s">
        <v>469</v>
      </c>
    </row>
    <row r="431" spans="2:29" outlineLevel="1">
      <c r="B431" s="324" t="s">
        <v>745</v>
      </c>
      <c r="C431" s="332" t="s">
        <v>1503</v>
      </c>
      <c r="D431" s="332">
        <v>40777</v>
      </c>
      <c r="E431" s="332">
        <v>57126</v>
      </c>
      <c r="F431" s="332" t="s">
        <v>1504</v>
      </c>
      <c r="G431" s="332" t="s">
        <v>138</v>
      </c>
      <c r="H431" s="332" t="s">
        <v>138</v>
      </c>
      <c r="I431" s="1228">
        <v>150</v>
      </c>
      <c r="J431" s="332" t="s">
        <v>1258</v>
      </c>
      <c r="K431" s="332" t="s">
        <v>127</v>
      </c>
      <c r="L431" s="332">
        <v>0</v>
      </c>
      <c r="M431" s="332" t="s">
        <v>969</v>
      </c>
      <c r="N431" s="332" t="s">
        <v>127</v>
      </c>
      <c r="O431" s="332">
        <v>0</v>
      </c>
      <c r="P431" s="332" t="s">
        <v>969</v>
      </c>
      <c r="Q431" s="332" t="s">
        <v>1163</v>
      </c>
      <c r="T431" s="496">
        <v>104</v>
      </c>
      <c r="U431" s="496">
        <v>115.33943179382203</v>
      </c>
      <c r="V431" s="496">
        <v>120.6368685916897</v>
      </c>
      <c r="W431" s="496">
        <v>123.6063438152987</v>
      </c>
      <c r="X431" s="496">
        <v>126.78914027461177</v>
      </c>
      <c r="Y431" s="496">
        <v>130.59281448285014</v>
      </c>
      <c r="Z431" s="496">
        <v>134.51059891733561</v>
      </c>
      <c r="AA431" s="496">
        <v>138.54591688485567</v>
      </c>
      <c r="AB431" s="496">
        <v>142.70229439140135</v>
      </c>
      <c r="AC431" s="496">
        <v>146.98336322314339</v>
      </c>
    </row>
    <row r="432" spans="2:29" outlineLevel="1">
      <c r="B432" s="324" t="s">
        <v>746</v>
      </c>
      <c r="C432" s="332" t="s">
        <v>1505</v>
      </c>
      <c r="D432" s="332">
        <v>40777</v>
      </c>
      <c r="E432" s="332">
        <v>50892</v>
      </c>
      <c r="F432" s="332" t="s">
        <v>1506</v>
      </c>
      <c r="G432" s="332" t="s">
        <v>138</v>
      </c>
      <c r="H432" s="332" t="s">
        <v>138</v>
      </c>
      <c r="I432" s="1228">
        <v>150</v>
      </c>
      <c r="J432" s="332" t="s">
        <v>1258</v>
      </c>
      <c r="K432" s="332" t="s">
        <v>127</v>
      </c>
      <c r="L432" s="332">
        <v>0</v>
      </c>
      <c r="M432" s="332" t="s">
        <v>969</v>
      </c>
      <c r="N432" s="332" t="s">
        <v>127</v>
      </c>
      <c r="O432" s="332">
        <v>0</v>
      </c>
      <c r="P432" s="332" t="s">
        <v>969</v>
      </c>
      <c r="Q432" s="332" t="s">
        <v>1163</v>
      </c>
      <c r="T432" s="496">
        <v>16.3</v>
      </c>
      <c r="U432" s="496">
        <v>18.077237867685568</v>
      </c>
      <c r="V432" s="496">
        <v>18.907509211966751</v>
      </c>
      <c r="W432" s="496">
        <v>19.372917347974699</v>
      </c>
      <c r="X432" s="496">
        <v>19.871759485347805</v>
      </c>
      <c r="Y432" s="496">
        <v>20.467912269908243</v>
      </c>
      <c r="Z432" s="496">
        <v>21.081949638005486</v>
      </c>
      <c r="AA432" s="496">
        <v>21.714408127145653</v>
      </c>
      <c r="AB432" s="496">
        <v>22.365840370960022</v>
      </c>
      <c r="AC432" s="496">
        <v>23.036815582088824</v>
      </c>
    </row>
    <row r="433" spans="2:29" outlineLevel="1">
      <c r="B433" s="324" t="s">
        <v>747</v>
      </c>
      <c r="C433" s="332" t="s">
        <v>1507</v>
      </c>
      <c r="D433" s="332">
        <v>40777</v>
      </c>
      <c r="E433" s="332">
        <v>54280</v>
      </c>
      <c r="F433" s="332" t="s">
        <v>1508</v>
      </c>
      <c r="G433" s="332" t="s">
        <v>138</v>
      </c>
      <c r="H433" s="332" t="s">
        <v>138</v>
      </c>
      <c r="I433" s="1228">
        <v>100</v>
      </c>
      <c r="J433" s="332" t="s">
        <v>1134</v>
      </c>
      <c r="K433" s="332" t="s">
        <v>127</v>
      </c>
      <c r="L433" s="332">
        <v>0</v>
      </c>
      <c r="M433" s="332" t="s">
        <v>969</v>
      </c>
      <c r="N433" s="332" t="s">
        <v>127</v>
      </c>
      <c r="O433" s="332">
        <v>0</v>
      </c>
      <c r="P433" s="332" t="s">
        <v>969</v>
      </c>
      <c r="Q433" s="332" t="s">
        <v>1163</v>
      </c>
      <c r="T433" s="496">
        <v>33.299999999999997</v>
      </c>
      <c r="U433" s="496">
        <v>36.930798833983395</v>
      </c>
      <c r="V433" s="496">
        <v>38.626997347146798</v>
      </c>
      <c r="W433" s="496">
        <v>39.577800471629288</v>
      </c>
      <c r="X433" s="496">
        <v>40.596907414851643</v>
      </c>
      <c r="Y433" s="496">
        <v>41.814814637297204</v>
      </c>
      <c r="Z433" s="496">
        <v>43.06925907641611</v>
      </c>
      <c r="AA433" s="496">
        <v>44.361336848708596</v>
      </c>
      <c r="AB433" s="496">
        <v>45.692176954169852</v>
      </c>
      <c r="AC433" s="496">
        <v>47.062942262794948</v>
      </c>
    </row>
    <row r="434" spans="2:29" outlineLevel="1">
      <c r="B434" s="324" t="s">
        <v>748</v>
      </c>
      <c r="C434" s="332" t="s">
        <v>1509</v>
      </c>
      <c r="D434" s="332">
        <v>40777</v>
      </c>
      <c r="E434" s="332">
        <v>54284</v>
      </c>
      <c r="F434" s="332" t="s">
        <v>1510</v>
      </c>
      <c r="G434" s="332" t="s">
        <v>138</v>
      </c>
      <c r="H434" s="332" t="s">
        <v>138</v>
      </c>
      <c r="I434" s="1228">
        <v>100</v>
      </c>
      <c r="J434" s="332" t="s">
        <v>1134</v>
      </c>
      <c r="K434" s="332" t="s">
        <v>127</v>
      </c>
      <c r="L434" s="332">
        <v>0</v>
      </c>
      <c r="M434" s="332" t="s">
        <v>969</v>
      </c>
      <c r="N434" s="332" t="s">
        <v>127</v>
      </c>
      <c r="O434" s="332">
        <v>0</v>
      </c>
      <c r="P434" s="332" t="s">
        <v>969</v>
      </c>
      <c r="Q434" s="332" t="s">
        <v>1163</v>
      </c>
      <c r="T434" s="496">
        <v>33.4</v>
      </c>
      <c r="U434" s="496">
        <v>37.041702133785151</v>
      </c>
      <c r="V434" s="496">
        <v>38.742994336177269</v>
      </c>
      <c r="W434" s="496">
        <v>39.696652725297845</v>
      </c>
      <c r="X434" s="496">
        <v>40.718820049731079</v>
      </c>
      <c r="Y434" s="496">
        <v>41.94038465122302</v>
      </c>
      <c r="Z434" s="496">
        <v>43.198596190759702</v>
      </c>
      <c r="AA434" s="496">
        <v>44.494554076482494</v>
      </c>
      <c r="AB434" s="496">
        <v>45.829390698776969</v>
      </c>
      <c r="AC434" s="496">
        <v>47.204272419740278</v>
      </c>
    </row>
    <row r="435" spans="2:29" outlineLevel="1">
      <c r="B435" s="326" t="s">
        <v>749</v>
      </c>
      <c r="C435" s="1443" t="s">
        <v>649</v>
      </c>
      <c r="D435" s="1444"/>
      <c r="E435" s="1444"/>
      <c r="F435" s="1444"/>
      <c r="G435" s="1444"/>
      <c r="H435" s="1444"/>
      <c r="I435" s="1444"/>
      <c r="J435" s="1444"/>
      <c r="K435" s="1444"/>
      <c r="L435" s="1444"/>
      <c r="M435" s="1444"/>
      <c r="N435" s="1444"/>
      <c r="O435" s="1444"/>
      <c r="P435" s="1444"/>
      <c r="Q435" s="1445"/>
      <c r="T435" s="496">
        <v>0</v>
      </c>
      <c r="U435" s="496">
        <v>0</v>
      </c>
      <c r="V435" s="496">
        <v>0</v>
      </c>
      <c r="W435" s="496">
        <v>0</v>
      </c>
      <c r="X435" s="496">
        <v>0</v>
      </c>
      <c r="Y435" s="496">
        <v>0</v>
      </c>
      <c r="Z435" s="496">
        <v>0</v>
      </c>
      <c r="AA435" s="496">
        <v>0</v>
      </c>
      <c r="AB435" s="496">
        <v>0</v>
      </c>
      <c r="AC435" s="496">
        <v>0</v>
      </c>
    </row>
    <row r="436" spans="2:29">
      <c r="F436" s="169"/>
      <c r="G436" s="169"/>
      <c r="H436" s="169"/>
      <c r="I436" s="169"/>
      <c r="S436" s="985" t="s">
        <v>750</v>
      </c>
      <c r="T436" s="474">
        <f t="shared" ref="T436:AC436" si="9">SUM(T431:T435)</f>
        <v>187</v>
      </c>
      <c r="U436" s="475">
        <f t="shared" si="9"/>
        <v>207.38917062927615</v>
      </c>
      <c r="V436" s="475">
        <f t="shared" si="9"/>
        <v>216.91436948698055</v>
      </c>
      <c r="W436" s="475">
        <f t="shared" si="9"/>
        <v>222.25371436020055</v>
      </c>
      <c r="X436" s="475">
        <f t="shared" si="9"/>
        <v>227.97662722454228</v>
      </c>
      <c r="Y436" s="475">
        <f t="shared" si="9"/>
        <v>234.81592604127863</v>
      </c>
      <c r="Z436" s="475">
        <f t="shared" si="9"/>
        <v>241.8604038225169</v>
      </c>
      <c r="AA436" s="476">
        <f t="shared" si="9"/>
        <v>249.11621593719241</v>
      </c>
      <c r="AB436" s="477">
        <f t="shared" si="9"/>
        <v>256.58970241530824</v>
      </c>
      <c r="AC436" s="475">
        <f t="shared" si="9"/>
        <v>264.28739348776742</v>
      </c>
    </row>
    <row r="437" spans="2:29" outlineLevel="1">
      <c r="B437" s="325" t="s">
        <v>468</v>
      </c>
      <c r="C437" s="1439" t="s">
        <v>1236</v>
      </c>
      <c r="D437" s="1440"/>
      <c r="E437" s="1440"/>
      <c r="F437" s="1440"/>
      <c r="G437" s="1440"/>
      <c r="H437" s="1440"/>
      <c r="I437" s="1440"/>
      <c r="J437" s="1440"/>
      <c r="K437" s="1440"/>
      <c r="L437" s="1440"/>
      <c r="M437" s="1440"/>
      <c r="N437" s="1440"/>
      <c r="O437" s="1440"/>
      <c r="P437" s="1440"/>
      <c r="Q437" s="1441"/>
      <c r="S437" s="153"/>
      <c r="AB437" s="283"/>
    </row>
    <row r="438" spans="2:29" outlineLevel="1">
      <c r="B438" s="324" t="s">
        <v>1511</v>
      </c>
      <c r="C438" s="1422">
        <v>0</v>
      </c>
      <c r="D438" s="1423"/>
      <c r="E438" s="1423"/>
      <c r="F438" s="1423"/>
      <c r="G438" s="1423"/>
      <c r="H438" s="1423"/>
      <c r="I438" s="1423"/>
      <c r="J438" s="1423"/>
      <c r="K438" s="1423"/>
      <c r="L438" s="1423"/>
      <c r="M438" s="1423"/>
      <c r="N438" s="1423"/>
      <c r="O438" s="1423"/>
      <c r="P438" s="1423"/>
      <c r="Q438" s="1424"/>
      <c r="S438" s="172"/>
      <c r="AB438" s="283"/>
    </row>
    <row r="439" spans="2:29" outlineLevel="1">
      <c r="B439" s="324" t="s">
        <v>1512</v>
      </c>
      <c r="C439" s="1422">
        <v>0</v>
      </c>
      <c r="D439" s="1423"/>
      <c r="E439" s="1423"/>
      <c r="F439" s="1423"/>
      <c r="G439" s="1423"/>
      <c r="H439" s="1423"/>
      <c r="I439" s="1423"/>
      <c r="J439" s="1423"/>
      <c r="K439" s="1423"/>
      <c r="L439" s="1423"/>
      <c r="M439" s="1423"/>
      <c r="N439" s="1423"/>
      <c r="O439" s="1423"/>
      <c r="P439" s="1423"/>
      <c r="Q439" s="1424"/>
      <c r="S439" s="172"/>
      <c r="AB439" s="283"/>
    </row>
    <row r="440" spans="2:29" outlineLevel="1">
      <c r="B440" s="324" t="s">
        <v>1513</v>
      </c>
      <c r="C440" s="1422">
        <v>0</v>
      </c>
      <c r="D440" s="1423"/>
      <c r="E440" s="1423"/>
      <c r="F440" s="1423"/>
      <c r="G440" s="1423"/>
      <c r="H440" s="1423"/>
      <c r="I440" s="1423"/>
      <c r="J440" s="1423"/>
      <c r="K440" s="1423"/>
      <c r="L440" s="1423"/>
      <c r="M440" s="1423"/>
      <c r="N440" s="1423"/>
      <c r="O440" s="1423"/>
      <c r="P440" s="1423"/>
      <c r="Q440" s="1424"/>
      <c r="S440" s="172"/>
      <c r="AB440" s="283"/>
    </row>
    <row r="441" spans="2:29" outlineLevel="1">
      <c r="B441" s="324" t="s">
        <v>745</v>
      </c>
      <c r="C441" s="1422">
        <v>0</v>
      </c>
      <c r="D441" s="1423"/>
      <c r="E441" s="1423"/>
      <c r="F441" s="1423"/>
      <c r="G441" s="1423"/>
      <c r="H441" s="1423"/>
      <c r="I441" s="1423"/>
      <c r="J441" s="1423"/>
      <c r="K441" s="1423"/>
      <c r="L441" s="1423"/>
      <c r="M441" s="1423"/>
      <c r="N441" s="1423"/>
      <c r="O441" s="1423"/>
      <c r="P441" s="1423"/>
      <c r="Q441" s="1424"/>
      <c r="S441" s="172"/>
      <c r="AB441" s="283"/>
    </row>
    <row r="442" spans="2:29" outlineLevel="1">
      <c r="B442" s="324" t="s">
        <v>746</v>
      </c>
      <c r="C442" s="1422">
        <v>0</v>
      </c>
      <c r="D442" s="1423"/>
      <c r="E442" s="1423"/>
      <c r="F442" s="1423"/>
      <c r="G442" s="1423"/>
      <c r="H442" s="1423"/>
      <c r="I442" s="1423"/>
      <c r="J442" s="1423"/>
      <c r="K442" s="1423"/>
      <c r="L442" s="1423"/>
      <c r="M442" s="1423"/>
      <c r="N442" s="1423"/>
      <c r="O442" s="1423"/>
      <c r="P442" s="1423"/>
      <c r="Q442" s="1424"/>
      <c r="S442" s="172"/>
      <c r="AB442" s="283"/>
    </row>
    <row r="443" spans="2:29" outlineLevel="1">
      <c r="B443" s="324" t="s">
        <v>1514</v>
      </c>
      <c r="C443" s="1422">
        <v>0</v>
      </c>
      <c r="D443" s="1423"/>
      <c r="E443" s="1423"/>
      <c r="F443" s="1423"/>
      <c r="G443" s="1423"/>
      <c r="H443" s="1423"/>
      <c r="I443" s="1423"/>
      <c r="J443" s="1423"/>
      <c r="K443" s="1423"/>
      <c r="L443" s="1423"/>
      <c r="M443" s="1423"/>
      <c r="N443" s="1423"/>
      <c r="O443" s="1423"/>
      <c r="P443" s="1423"/>
      <c r="Q443" s="1424"/>
      <c r="S443" s="172"/>
      <c r="AB443" s="283"/>
    </row>
    <row r="444" spans="2:29" outlineLevel="1">
      <c r="B444" s="324" t="s">
        <v>1515</v>
      </c>
      <c r="C444" s="1422">
        <v>0</v>
      </c>
      <c r="D444" s="1423"/>
      <c r="E444" s="1423"/>
      <c r="F444" s="1423"/>
      <c r="G444" s="1423"/>
      <c r="H444" s="1423"/>
      <c r="I444" s="1423"/>
      <c r="J444" s="1423"/>
      <c r="K444" s="1423"/>
      <c r="L444" s="1423"/>
      <c r="M444" s="1423"/>
      <c r="N444" s="1423"/>
      <c r="O444" s="1423"/>
      <c r="P444" s="1423"/>
      <c r="Q444" s="1424"/>
      <c r="S444" s="172"/>
      <c r="AB444" s="283"/>
    </row>
    <row r="445" spans="2:29" outlineLevel="1">
      <c r="B445" s="324" t="s">
        <v>747</v>
      </c>
      <c r="C445" s="1422">
        <v>0</v>
      </c>
      <c r="D445" s="1423"/>
      <c r="E445" s="1423"/>
      <c r="F445" s="1423"/>
      <c r="G445" s="1423"/>
      <c r="H445" s="1423"/>
      <c r="I445" s="1423"/>
      <c r="J445" s="1423"/>
      <c r="K445" s="1423"/>
      <c r="L445" s="1423"/>
      <c r="M445" s="1423"/>
      <c r="N445" s="1423"/>
      <c r="O445" s="1423"/>
      <c r="P445" s="1423"/>
      <c r="Q445" s="1424"/>
      <c r="S445" s="172"/>
      <c r="AB445" s="283"/>
    </row>
    <row r="446" spans="2:29" outlineLevel="1">
      <c r="B446" s="324" t="s">
        <v>748</v>
      </c>
      <c r="C446" s="1422">
        <v>0</v>
      </c>
      <c r="D446" s="1423"/>
      <c r="E446" s="1423"/>
      <c r="F446" s="1423"/>
      <c r="G446" s="1423"/>
      <c r="H446" s="1423"/>
      <c r="I446" s="1423"/>
      <c r="J446" s="1423"/>
      <c r="K446" s="1423"/>
      <c r="L446" s="1423"/>
      <c r="M446" s="1423"/>
      <c r="N446" s="1423"/>
      <c r="O446" s="1423"/>
      <c r="P446" s="1423"/>
      <c r="Q446" s="1424"/>
      <c r="S446" s="172"/>
      <c r="AB446" s="283"/>
    </row>
    <row r="447" spans="2:29" outlineLevel="1">
      <c r="B447" s="326" t="s">
        <v>749</v>
      </c>
      <c r="C447" s="1443" t="s">
        <v>649</v>
      </c>
      <c r="D447" s="1444"/>
      <c r="E447" s="1444"/>
      <c r="F447" s="1444"/>
      <c r="G447" s="1444"/>
      <c r="H447" s="1444"/>
      <c r="I447" s="1444"/>
      <c r="J447" s="1444"/>
      <c r="K447" s="1444"/>
      <c r="L447" s="1444"/>
      <c r="M447" s="1444"/>
      <c r="N447" s="1444"/>
      <c r="O447" s="1444"/>
      <c r="P447" s="1444"/>
      <c r="Q447" s="1445"/>
      <c r="S447" s="172"/>
      <c r="AB447" s="283"/>
    </row>
    <row r="448" spans="2:29">
      <c r="AB448" s="283"/>
    </row>
    <row r="449" spans="2:29">
      <c r="F449" s="169"/>
      <c r="G449" s="169"/>
      <c r="H449" s="169"/>
      <c r="I449" s="169"/>
      <c r="AB449" s="283"/>
    </row>
    <row r="450" spans="2:29">
      <c r="B450" s="312" t="s">
        <v>751</v>
      </c>
      <c r="C450" s="312"/>
      <c r="D450" s="171" t="s">
        <v>887</v>
      </c>
      <c r="E450" s="150"/>
      <c r="AB450" s="283"/>
    </row>
    <row r="451" spans="2:29" outlineLevel="1">
      <c r="AB451" s="283"/>
    </row>
    <row r="452" spans="2:29" ht="25.5" customHeight="1" outlineLevel="1">
      <c r="B452" s="781"/>
      <c r="C452" s="789" t="s">
        <v>1100</v>
      </c>
      <c r="D452" s="777" t="s">
        <v>599</v>
      </c>
      <c r="E452" s="777" t="s">
        <v>600</v>
      </c>
      <c r="F452" s="1430" t="s">
        <v>601</v>
      </c>
      <c r="G452" s="1431"/>
      <c r="H452" s="1431"/>
      <c r="I452" s="1431"/>
      <c r="J452" s="1431"/>
      <c r="K452" s="1431"/>
      <c r="L452" s="1431"/>
      <c r="M452" s="1431"/>
      <c r="N452" s="1432"/>
      <c r="O452" s="789" t="s">
        <v>655</v>
      </c>
      <c r="P452" s="777" t="s">
        <v>1516</v>
      </c>
      <c r="Q452" s="795" t="s">
        <v>1121</v>
      </c>
      <c r="AB452" s="283"/>
    </row>
    <row r="453" spans="2:29" ht="25.5" customHeight="1" outlineLevel="1">
      <c r="B453" s="343" t="s">
        <v>468</v>
      </c>
      <c r="C453" s="571"/>
      <c r="D453" s="337" t="s">
        <v>602</v>
      </c>
      <c r="E453" s="337" t="s">
        <v>602</v>
      </c>
      <c r="F453" s="1433"/>
      <c r="G453" s="1434"/>
      <c r="H453" s="1434"/>
      <c r="I453" s="1434"/>
      <c r="J453" s="1434"/>
      <c r="K453" s="1434"/>
      <c r="L453" s="1434"/>
      <c r="M453" s="1434"/>
      <c r="N453" s="1435"/>
      <c r="O453" s="355" t="s">
        <v>469</v>
      </c>
      <c r="P453" s="352" t="s">
        <v>225</v>
      </c>
      <c r="Q453" s="356" t="s">
        <v>153</v>
      </c>
      <c r="T453" s="196" t="s">
        <v>469</v>
      </c>
      <c r="U453" s="197" t="s">
        <v>469</v>
      </c>
      <c r="V453" s="197" t="s">
        <v>469</v>
      </c>
      <c r="W453" s="197" t="s">
        <v>469</v>
      </c>
      <c r="X453" s="197" t="s">
        <v>469</v>
      </c>
      <c r="Y453" s="197" t="s">
        <v>469</v>
      </c>
      <c r="Z453" s="197" t="s">
        <v>469</v>
      </c>
      <c r="AA453" s="278" t="s">
        <v>469</v>
      </c>
      <c r="AB453" s="296" t="s">
        <v>469</v>
      </c>
      <c r="AC453" s="197" t="s">
        <v>469</v>
      </c>
    </row>
    <row r="454" spans="2:29" outlineLevel="1">
      <c r="B454" s="345" t="s">
        <v>753</v>
      </c>
      <c r="C454" s="332"/>
      <c r="D454" s="332"/>
      <c r="E454" s="332"/>
      <c r="F454" s="1436"/>
      <c r="G454" s="1437"/>
      <c r="H454" s="1437"/>
      <c r="I454" s="1437"/>
      <c r="J454" s="1437"/>
      <c r="K454" s="1437"/>
      <c r="L454" s="1437"/>
      <c r="M454" s="1437"/>
      <c r="N454" s="1438"/>
      <c r="O454" s="357">
        <v>0</v>
      </c>
      <c r="P454" s="349">
        <v>0</v>
      </c>
      <c r="Q454" s="322">
        <v>0</v>
      </c>
      <c r="T454" s="496">
        <v>0</v>
      </c>
      <c r="U454" s="496">
        <v>0</v>
      </c>
      <c r="V454" s="496">
        <v>0</v>
      </c>
      <c r="W454" s="496">
        <v>0</v>
      </c>
      <c r="X454" s="496">
        <v>0</v>
      </c>
      <c r="Y454" s="496">
        <v>0</v>
      </c>
      <c r="Z454" s="496">
        <v>0</v>
      </c>
      <c r="AA454" s="496">
        <v>0</v>
      </c>
      <c r="AB454" s="496">
        <v>0</v>
      </c>
      <c r="AC454" s="496">
        <v>0</v>
      </c>
    </row>
    <row r="455" spans="2:29" outlineLevel="1">
      <c r="B455" s="324" t="s">
        <v>754</v>
      </c>
      <c r="C455" s="332"/>
      <c r="D455" s="332"/>
      <c r="E455" s="332"/>
      <c r="F455" s="1427"/>
      <c r="G455" s="1428"/>
      <c r="H455" s="1428"/>
      <c r="I455" s="1428"/>
      <c r="J455" s="1428"/>
      <c r="K455" s="1428"/>
      <c r="L455" s="1428"/>
      <c r="M455" s="1428"/>
      <c r="N455" s="1429"/>
      <c r="O455" s="357">
        <v>0</v>
      </c>
      <c r="P455" s="351">
        <v>0</v>
      </c>
      <c r="Q455" s="322">
        <v>0</v>
      </c>
      <c r="T455" s="496">
        <v>0</v>
      </c>
      <c r="U455" s="496">
        <v>0</v>
      </c>
      <c r="V455" s="496">
        <v>0</v>
      </c>
      <c r="W455" s="496">
        <v>0</v>
      </c>
      <c r="X455" s="496">
        <v>0</v>
      </c>
      <c r="Y455" s="496">
        <v>0</v>
      </c>
      <c r="Z455" s="496">
        <v>0</v>
      </c>
      <c r="AA455" s="496">
        <v>0</v>
      </c>
      <c r="AB455" s="496">
        <v>0</v>
      </c>
      <c r="AC455" s="496">
        <v>0</v>
      </c>
    </row>
    <row r="456" spans="2:29" outlineLevel="1">
      <c r="B456" s="324" t="s">
        <v>755</v>
      </c>
      <c r="C456" s="332"/>
      <c r="D456" s="332"/>
      <c r="E456" s="332"/>
      <c r="F456" s="1427"/>
      <c r="G456" s="1428"/>
      <c r="H456" s="1428"/>
      <c r="I456" s="1428"/>
      <c r="J456" s="1428"/>
      <c r="K456" s="1428"/>
      <c r="L456" s="1428"/>
      <c r="M456" s="1428"/>
      <c r="N456" s="1429"/>
      <c r="O456" s="357">
        <v>0</v>
      </c>
      <c r="P456" s="351">
        <v>0</v>
      </c>
      <c r="Q456" s="322">
        <v>0</v>
      </c>
      <c r="T456" s="496">
        <v>0</v>
      </c>
      <c r="U456" s="496">
        <v>0</v>
      </c>
      <c r="V456" s="496">
        <v>0</v>
      </c>
      <c r="W456" s="496">
        <v>0</v>
      </c>
      <c r="X456" s="496">
        <v>0</v>
      </c>
      <c r="Y456" s="496">
        <v>0</v>
      </c>
      <c r="Z456" s="496">
        <v>0</v>
      </c>
      <c r="AA456" s="496">
        <v>0</v>
      </c>
      <c r="AB456" s="496">
        <v>0</v>
      </c>
      <c r="AC456" s="496">
        <v>0</v>
      </c>
    </row>
    <row r="457" spans="2:29" outlineLevel="1">
      <c r="B457" s="324" t="s">
        <v>756</v>
      </c>
      <c r="C457" s="332"/>
      <c r="D457" s="332"/>
      <c r="E457" s="332"/>
      <c r="F457" s="1427"/>
      <c r="G457" s="1428"/>
      <c r="H457" s="1428"/>
      <c r="I457" s="1428"/>
      <c r="J457" s="1428"/>
      <c r="K457" s="1428"/>
      <c r="L457" s="1428"/>
      <c r="M457" s="1428"/>
      <c r="N457" s="1429"/>
      <c r="O457" s="357">
        <v>0</v>
      </c>
      <c r="P457" s="351">
        <v>0</v>
      </c>
      <c r="Q457" s="322">
        <v>0</v>
      </c>
      <c r="T457" s="496">
        <v>0</v>
      </c>
      <c r="U457" s="496">
        <v>0</v>
      </c>
      <c r="V457" s="496">
        <v>0</v>
      </c>
      <c r="W457" s="496">
        <v>0</v>
      </c>
      <c r="X457" s="496">
        <v>0</v>
      </c>
      <c r="Y457" s="496">
        <v>0</v>
      </c>
      <c r="Z457" s="496">
        <v>0</v>
      </c>
      <c r="AA457" s="496">
        <v>0</v>
      </c>
      <c r="AB457" s="496">
        <v>0</v>
      </c>
      <c r="AC457" s="496">
        <v>0</v>
      </c>
    </row>
    <row r="458" spans="2:29" outlineLevel="1">
      <c r="B458" s="326" t="s">
        <v>757</v>
      </c>
      <c r="C458" s="1443" t="s">
        <v>649</v>
      </c>
      <c r="D458" s="1444"/>
      <c r="E458" s="1444"/>
      <c r="F458" s="1444"/>
      <c r="G458" s="1444"/>
      <c r="H458" s="1444"/>
      <c r="I458" s="1444"/>
      <c r="J458" s="1444"/>
      <c r="K458" s="1444"/>
      <c r="L458" s="1444"/>
      <c r="M458" s="1444"/>
      <c r="N458" s="1444"/>
      <c r="O458" s="1444"/>
      <c r="P458" s="1444"/>
      <c r="Q458" s="1445"/>
      <c r="T458" s="496">
        <v>0</v>
      </c>
      <c r="U458" s="496">
        <v>0</v>
      </c>
      <c r="V458" s="496">
        <v>0</v>
      </c>
      <c r="W458" s="496">
        <v>0</v>
      </c>
      <c r="X458" s="496">
        <v>0</v>
      </c>
      <c r="Y458" s="496">
        <v>0</v>
      </c>
      <c r="Z458" s="496">
        <v>0</v>
      </c>
      <c r="AA458" s="496">
        <v>0</v>
      </c>
      <c r="AB458" s="496">
        <v>0</v>
      </c>
      <c r="AC458" s="496">
        <v>0</v>
      </c>
    </row>
    <row r="459" spans="2:29">
      <c r="F459" s="169"/>
      <c r="G459" s="169"/>
      <c r="H459" s="169"/>
      <c r="I459" s="169"/>
      <c r="S459" s="985" t="s">
        <v>758</v>
      </c>
      <c r="T459" s="474">
        <f t="shared" ref="T459:AC459" si="10">SUM(T454:T458)</f>
        <v>0</v>
      </c>
      <c r="U459" s="475">
        <f t="shared" si="10"/>
        <v>0</v>
      </c>
      <c r="V459" s="475">
        <f t="shared" si="10"/>
        <v>0</v>
      </c>
      <c r="W459" s="475">
        <f t="shared" si="10"/>
        <v>0</v>
      </c>
      <c r="X459" s="475">
        <f t="shared" si="10"/>
        <v>0</v>
      </c>
      <c r="Y459" s="475">
        <f t="shared" si="10"/>
        <v>0</v>
      </c>
      <c r="Z459" s="475">
        <f t="shared" si="10"/>
        <v>0</v>
      </c>
      <c r="AA459" s="476">
        <f t="shared" si="10"/>
        <v>0</v>
      </c>
      <c r="AB459" s="477">
        <f t="shared" si="10"/>
        <v>0</v>
      </c>
      <c r="AC459" s="475">
        <f t="shared" si="10"/>
        <v>0</v>
      </c>
    </row>
    <row r="460" spans="2:29" outlineLevel="1">
      <c r="B460" s="325" t="s">
        <v>468</v>
      </c>
      <c r="C460" s="1439" t="s">
        <v>1236</v>
      </c>
      <c r="D460" s="1440"/>
      <c r="E460" s="1440"/>
      <c r="F460" s="1440"/>
      <c r="G460" s="1440"/>
      <c r="H460" s="1440"/>
      <c r="I460" s="1440"/>
      <c r="J460" s="1440"/>
      <c r="K460" s="1440"/>
      <c r="L460" s="1440"/>
      <c r="M460" s="1440"/>
      <c r="N460" s="1440"/>
      <c r="O460" s="1440"/>
      <c r="P460" s="1440"/>
      <c r="Q460" s="1441"/>
      <c r="AB460" s="283"/>
    </row>
    <row r="461" spans="2:29" outlineLevel="1">
      <c r="B461" s="324" t="s">
        <v>753</v>
      </c>
      <c r="C461" s="1422">
        <v>0</v>
      </c>
      <c r="D461" s="1423"/>
      <c r="E461" s="1423"/>
      <c r="F461" s="1423"/>
      <c r="G461" s="1423"/>
      <c r="H461" s="1423"/>
      <c r="I461" s="1423"/>
      <c r="J461" s="1423"/>
      <c r="K461" s="1423"/>
      <c r="L461" s="1423"/>
      <c r="M461" s="1423"/>
      <c r="N461" s="1423"/>
      <c r="O461" s="1423"/>
      <c r="P461" s="1423"/>
      <c r="Q461" s="1424"/>
      <c r="AB461" s="283"/>
    </row>
    <row r="462" spans="2:29" outlineLevel="1">
      <c r="B462" s="324" t="s">
        <v>754</v>
      </c>
      <c r="C462" s="1422">
        <v>0</v>
      </c>
      <c r="D462" s="1423"/>
      <c r="E462" s="1423"/>
      <c r="F462" s="1423"/>
      <c r="G462" s="1423"/>
      <c r="H462" s="1423"/>
      <c r="I462" s="1423"/>
      <c r="J462" s="1423"/>
      <c r="K462" s="1423"/>
      <c r="L462" s="1423"/>
      <c r="M462" s="1423"/>
      <c r="N462" s="1423"/>
      <c r="O462" s="1423"/>
      <c r="P462" s="1423"/>
      <c r="Q462" s="1424"/>
      <c r="AB462" s="283"/>
    </row>
    <row r="463" spans="2:29" outlineLevel="1">
      <c r="B463" s="324" t="s">
        <v>755</v>
      </c>
      <c r="C463" s="1422">
        <v>0</v>
      </c>
      <c r="D463" s="1423"/>
      <c r="E463" s="1423"/>
      <c r="F463" s="1423"/>
      <c r="G463" s="1423"/>
      <c r="H463" s="1423"/>
      <c r="I463" s="1423"/>
      <c r="J463" s="1423"/>
      <c r="K463" s="1423"/>
      <c r="L463" s="1423"/>
      <c r="M463" s="1423"/>
      <c r="N463" s="1423"/>
      <c r="O463" s="1423"/>
      <c r="P463" s="1423"/>
      <c r="Q463" s="1424"/>
      <c r="AB463" s="283"/>
    </row>
    <row r="464" spans="2:29" outlineLevel="1">
      <c r="B464" s="324" t="s">
        <v>756</v>
      </c>
      <c r="C464" s="1422">
        <v>0</v>
      </c>
      <c r="D464" s="1423"/>
      <c r="E464" s="1423"/>
      <c r="F464" s="1423"/>
      <c r="G464" s="1423"/>
      <c r="H464" s="1423"/>
      <c r="I464" s="1423"/>
      <c r="J464" s="1423"/>
      <c r="K464" s="1423"/>
      <c r="L464" s="1423"/>
      <c r="M464" s="1423"/>
      <c r="N464" s="1423"/>
      <c r="O464" s="1423"/>
      <c r="P464" s="1423"/>
      <c r="Q464" s="1424"/>
      <c r="AB464" s="283"/>
    </row>
    <row r="465" spans="2:29" outlineLevel="1">
      <c r="B465" s="326" t="s">
        <v>757</v>
      </c>
      <c r="C465" s="1443" t="s">
        <v>649</v>
      </c>
      <c r="D465" s="1444"/>
      <c r="E465" s="1444"/>
      <c r="F465" s="1444"/>
      <c r="G465" s="1444"/>
      <c r="H465" s="1444"/>
      <c r="I465" s="1444"/>
      <c r="J465" s="1444"/>
      <c r="K465" s="1444"/>
      <c r="L465" s="1444"/>
      <c r="M465" s="1444"/>
      <c r="N465" s="1444"/>
      <c r="O465" s="1444"/>
      <c r="P465" s="1444"/>
      <c r="Q465" s="1445"/>
      <c r="AB465" s="283"/>
    </row>
    <row r="466" spans="2:29">
      <c r="AB466" s="283"/>
    </row>
    <row r="467" spans="2:29">
      <c r="F467" s="169"/>
      <c r="G467" s="169"/>
      <c r="H467" s="169"/>
      <c r="I467" s="169"/>
      <c r="AB467" s="283"/>
    </row>
    <row r="468" spans="2:29">
      <c r="B468" s="312" t="s">
        <v>759</v>
      </c>
      <c r="C468" s="312"/>
      <c r="D468" s="171" t="s">
        <v>888</v>
      </c>
      <c r="E468" s="150"/>
      <c r="AB468" s="283"/>
    </row>
    <row r="469" spans="2:29">
      <c r="B469" s="312"/>
      <c r="C469" s="312"/>
      <c r="D469" s="150"/>
      <c r="E469" s="150"/>
      <c r="AB469" s="283"/>
    </row>
    <row r="470" spans="2:29" ht="27" outlineLevel="1">
      <c r="B470" s="781"/>
      <c r="C470" s="789" t="s">
        <v>1100</v>
      </c>
      <c r="D470" s="777" t="s">
        <v>599</v>
      </c>
      <c r="E470" s="777" t="s">
        <v>600</v>
      </c>
      <c r="F470" s="1430" t="s">
        <v>601</v>
      </c>
      <c r="G470" s="1431"/>
      <c r="H470" s="1431"/>
      <c r="I470" s="1431"/>
      <c r="J470" s="1431"/>
      <c r="K470" s="1431"/>
      <c r="L470" s="1431"/>
      <c r="M470" s="1431"/>
      <c r="N470" s="1432"/>
      <c r="O470" s="789" t="s">
        <v>655</v>
      </c>
      <c r="P470" s="777" t="s">
        <v>1517</v>
      </c>
      <c r="Q470" s="795" t="s">
        <v>1121</v>
      </c>
      <c r="AB470" s="283"/>
    </row>
    <row r="471" spans="2:29" outlineLevel="1">
      <c r="B471" s="343" t="s">
        <v>468</v>
      </c>
      <c r="C471" s="571"/>
      <c r="D471" s="337" t="s">
        <v>602</v>
      </c>
      <c r="E471" s="337" t="s">
        <v>602</v>
      </c>
      <c r="F471" s="1433"/>
      <c r="G471" s="1434"/>
      <c r="H471" s="1434"/>
      <c r="I471" s="1434"/>
      <c r="J471" s="1434"/>
      <c r="K471" s="1434"/>
      <c r="L471" s="1434"/>
      <c r="M471" s="1434"/>
      <c r="N471" s="1435"/>
      <c r="O471" s="355" t="s">
        <v>469</v>
      </c>
      <c r="P471" s="352" t="s">
        <v>1518</v>
      </c>
      <c r="Q471" s="356" t="s">
        <v>153</v>
      </c>
      <c r="T471" s="196" t="s">
        <v>469</v>
      </c>
      <c r="U471" s="197" t="s">
        <v>469</v>
      </c>
      <c r="V471" s="197" t="s">
        <v>469</v>
      </c>
      <c r="W471" s="197" t="s">
        <v>469</v>
      </c>
      <c r="X471" s="197" t="s">
        <v>469</v>
      </c>
      <c r="Y471" s="197" t="s">
        <v>469</v>
      </c>
      <c r="Z471" s="197" t="s">
        <v>469</v>
      </c>
      <c r="AA471" s="278" t="s">
        <v>469</v>
      </c>
      <c r="AB471" s="296" t="s">
        <v>469</v>
      </c>
      <c r="AC471" s="197" t="s">
        <v>469</v>
      </c>
    </row>
    <row r="472" spans="2:29" outlineLevel="1">
      <c r="B472" s="345" t="s">
        <v>761</v>
      </c>
      <c r="C472" s="332"/>
      <c r="D472" s="332"/>
      <c r="E472" s="332"/>
      <c r="F472" s="1436"/>
      <c r="G472" s="1437"/>
      <c r="H472" s="1437"/>
      <c r="I472" s="1437"/>
      <c r="J472" s="1437"/>
      <c r="K472" s="1437"/>
      <c r="L472" s="1437"/>
      <c r="M472" s="1437"/>
      <c r="N472" s="1438"/>
      <c r="O472" s="357">
        <v>0</v>
      </c>
      <c r="P472" s="349">
        <v>0</v>
      </c>
      <c r="Q472" s="322">
        <v>0</v>
      </c>
      <c r="T472" s="496">
        <v>0</v>
      </c>
      <c r="U472" s="496">
        <v>0</v>
      </c>
      <c r="V472" s="496">
        <v>0</v>
      </c>
      <c r="W472" s="496">
        <v>0</v>
      </c>
      <c r="X472" s="496">
        <v>0</v>
      </c>
      <c r="Y472" s="496">
        <v>0</v>
      </c>
      <c r="Z472" s="496">
        <v>0</v>
      </c>
      <c r="AA472" s="496">
        <v>0</v>
      </c>
      <c r="AB472" s="496">
        <v>0</v>
      </c>
      <c r="AC472" s="496">
        <v>0</v>
      </c>
    </row>
    <row r="473" spans="2:29" outlineLevel="1">
      <c r="B473" s="324" t="s">
        <v>762</v>
      </c>
      <c r="C473" s="332"/>
      <c r="D473" s="332"/>
      <c r="E473" s="332"/>
      <c r="F473" s="1427"/>
      <c r="G473" s="1428"/>
      <c r="H473" s="1428"/>
      <c r="I473" s="1428"/>
      <c r="J473" s="1428"/>
      <c r="K473" s="1428"/>
      <c r="L473" s="1428"/>
      <c r="M473" s="1428"/>
      <c r="N473" s="1429"/>
      <c r="O473" s="357">
        <v>0</v>
      </c>
      <c r="P473" s="351">
        <v>0</v>
      </c>
      <c r="Q473" s="322">
        <v>0</v>
      </c>
      <c r="T473" s="496">
        <v>0</v>
      </c>
      <c r="U473" s="496">
        <v>0</v>
      </c>
      <c r="V473" s="496">
        <v>0</v>
      </c>
      <c r="W473" s="496">
        <v>0</v>
      </c>
      <c r="X473" s="496">
        <v>0</v>
      </c>
      <c r="Y473" s="496">
        <v>0</v>
      </c>
      <c r="Z473" s="496">
        <v>0</v>
      </c>
      <c r="AA473" s="496">
        <v>0</v>
      </c>
      <c r="AB473" s="496">
        <v>0</v>
      </c>
      <c r="AC473" s="496">
        <v>0</v>
      </c>
    </row>
    <row r="474" spans="2:29" outlineLevel="1">
      <c r="B474" s="324" t="s">
        <v>763</v>
      </c>
      <c r="C474" s="332"/>
      <c r="D474" s="332"/>
      <c r="E474" s="332"/>
      <c r="F474" s="1427"/>
      <c r="G474" s="1428"/>
      <c r="H474" s="1428"/>
      <c r="I474" s="1428"/>
      <c r="J474" s="1428"/>
      <c r="K474" s="1428"/>
      <c r="L474" s="1428"/>
      <c r="M474" s="1428"/>
      <c r="N474" s="1429"/>
      <c r="O474" s="357">
        <v>0</v>
      </c>
      <c r="P474" s="351">
        <v>0</v>
      </c>
      <c r="Q474" s="322">
        <v>0</v>
      </c>
      <c r="T474" s="496">
        <v>0</v>
      </c>
      <c r="U474" s="496">
        <v>0</v>
      </c>
      <c r="V474" s="496">
        <v>0</v>
      </c>
      <c r="W474" s="496">
        <v>0</v>
      </c>
      <c r="X474" s="496">
        <v>0</v>
      </c>
      <c r="Y474" s="496">
        <v>0</v>
      </c>
      <c r="Z474" s="496">
        <v>0</v>
      </c>
      <c r="AA474" s="496">
        <v>0</v>
      </c>
      <c r="AB474" s="496">
        <v>0</v>
      </c>
      <c r="AC474" s="496">
        <v>0</v>
      </c>
    </row>
    <row r="475" spans="2:29" outlineLevel="1">
      <c r="B475" s="324" t="s">
        <v>764</v>
      </c>
      <c r="C475" s="332"/>
      <c r="D475" s="332"/>
      <c r="E475" s="332"/>
      <c r="F475" s="1427"/>
      <c r="G475" s="1428"/>
      <c r="H475" s="1428"/>
      <c r="I475" s="1428"/>
      <c r="J475" s="1428"/>
      <c r="K475" s="1428"/>
      <c r="L475" s="1428"/>
      <c r="M475" s="1428"/>
      <c r="N475" s="1429"/>
      <c r="O475" s="357">
        <v>0</v>
      </c>
      <c r="P475" s="351">
        <v>0</v>
      </c>
      <c r="Q475" s="322">
        <v>0</v>
      </c>
      <c r="T475" s="496">
        <v>0</v>
      </c>
      <c r="U475" s="496">
        <v>0</v>
      </c>
      <c r="V475" s="496">
        <v>0</v>
      </c>
      <c r="W475" s="496">
        <v>0</v>
      </c>
      <c r="X475" s="496">
        <v>0</v>
      </c>
      <c r="Y475" s="496">
        <v>0</v>
      </c>
      <c r="Z475" s="496">
        <v>0</v>
      </c>
      <c r="AA475" s="496">
        <v>0</v>
      </c>
      <c r="AB475" s="496">
        <v>0</v>
      </c>
      <c r="AC475" s="496">
        <v>0</v>
      </c>
    </row>
    <row r="476" spans="2:29" outlineLevel="1">
      <c r="B476" s="326" t="s">
        <v>765</v>
      </c>
      <c r="C476" s="1443" t="s">
        <v>649</v>
      </c>
      <c r="D476" s="1444"/>
      <c r="E476" s="1444"/>
      <c r="F476" s="1444"/>
      <c r="G476" s="1444"/>
      <c r="H476" s="1444"/>
      <c r="I476" s="1444"/>
      <c r="J476" s="1444"/>
      <c r="K476" s="1444"/>
      <c r="L476" s="1444"/>
      <c r="M476" s="1444"/>
      <c r="N476" s="1444"/>
      <c r="O476" s="1444"/>
      <c r="P476" s="1444"/>
      <c r="Q476" s="1445"/>
      <c r="T476" s="496">
        <v>0</v>
      </c>
      <c r="U476" s="496">
        <v>0</v>
      </c>
      <c r="V476" s="496">
        <v>0</v>
      </c>
      <c r="W476" s="496">
        <v>0</v>
      </c>
      <c r="X476" s="496">
        <v>0</v>
      </c>
      <c r="Y476" s="496">
        <v>0</v>
      </c>
      <c r="Z476" s="496">
        <v>0</v>
      </c>
      <c r="AA476" s="496">
        <v>0</v>
      </c>
      <c r="AB476" s="496">
        <v>0</v>
      </c>
      <c r="AC476" s="496">
        <v>0</v>
      </c>
    </row>
    <row r="477" spans="2:29">
      <c r="F477" s="169"/>
      <c r="G477" s="169"/>
      <c r="H477" s="169"/>
      <c r="I477" s="169"/>
      <c r="R477" s="151" t="s">
        <v>1519</v>
      </c>
      <c r="S477" s="985" t="s">
        <v>766</v>
      </c>
      <c r="T477" s="474">
        <f t="shared" ref="T477:AC477" si="11">SUM(T472:T476)</f>
        <v>0</v>
      </c>
      <c r="U477" s="475">
        <f t="shared" si="11"/>
        <v>0</v>
      </c>
      <c r="V477" s="475">
        <f t="shared" si="11"/>
        <v>0</v>
      </c>
      <c r="W477" s="475">
        <f t="shared" si="11"/>
        <v>0</v>
      </c>
      <c r="X477" s="475">
        <f t="shared" si="11"/>
        <v>0</v>
      </c>
      <c r="Y477" s="475">
        <f t="shared" si="11"/>
        <v>0</v>
      </c>
      <c r="Z477" s="475">
        <f t="shared" si="11"/>
        <v>0</v>
      </c>
      <c r="AA477" s="476">
        <f t="shared" si="11"/>
        <v>0</v>
      </c>
      <c r="AB477" s="477">
        <f t="shared" si="11"/>
        <v>0</v>
      </c>
      <c r="AC477" s="475">
        <f t="shared" si="11"/>
        <v>0</v>
      </c>
    </row>
    <row r="478" spans="2:29" outlineLevel="1">
      <c r="B478" s="325" t="s">
        <v>468</v>
      </c>
      <c r="C478" s="1439" t="s">
        <v>1236</v>
      </c>
      <c r="D478" s="1440"/>
      <c r="E478" s="1440"/>
      <c r="F478" s="1440"/>
      <c r="G478" s="1440"/>
      <c r="H478" s="1440"/>
      <c r="I478" s="1440"/>
      <c r="J478" s="1440"/>
      <c r="K478" s="1440"/>
      <c r="L478" s="1440"/>
      <c r="M478" s="1440"/>
      <c r="N478" s="1440"/>
      <c r="O478" s="1440"/>
      <c r="P478" s="1440"/>
      <c r="Q478" s="1441"/>
      <c r="AB478" s="283"/>
    </row>
    <row r="479" spans="2:29" outlineLevel="1">
      <c r="B479" s="324" t="s">
        <v>761</v>
      </c>
      <c r="C479" s="1422">
        <v>0</v>
      </c>
      <c r="D479" s="1423"/>
      <c r="E479" s="1423"/>
      <c r="F479" s="1423"/>
      <c r="G479" s="1423"/>
      <c r="H479" s="1423"/>
      <c r="I479" s="1423"/>
      <c r="J479" s="1423"/>
      <c r="K479" s="1423"/>
      <c r="L479" s="1423"/>
      <c r="M479" s="1423"/>
      <c r="N479" s="1423"/>
      <c r="O479" s="1423"/>
      <c r="P479" s="1423"/>
      <c r="Q479" s="1424"/>
      <c r="AB479" s="283"/>
    </row>
    <row r="480" spans="2:29" outlineLevel="1">
      <c r="B480" s="324" t="s">
        <v>762</v>
      </c>
      <c r="C480" s="1422">
        <v>0</v>
      </c>
      <c r="D480" s="1423"/>
      <c r="E480" s="1423"/>
      <c r="F480" s="1423"/>
      <c r="G480" s="1423"/>
      <c r="H480" s="1423"/>
      <c r="I480" s="1423"/>
      <c r="J480" s="1423"/>
      <c r="K480" s="1423"/>
      <c r="L480" s="1423"/>
      <c r="M480" s="1423"/>
      <c r="N480" s="1423"/>
      <c r="O480" s="1423"/>
      <c r="P480" s="1423"/>
      <c r="Q480" s="1424"/>
      <c r="AB480" s="283"/>
    </row>
    <row r="481" spans="2:29" outlineLevel="1">
      <c r="B481" s="324" t="s">
        <v>763</v>
      </c>
      <c r="C481" s="1422">
        <v>0</v>
      </c>
      <c r="D481" s="1423"/>
      <c r="E481" s="1423"/>
      <c r="F481" s="1423"/>
      <c r="G481" s="1423"/>
      <c r="H481" s="1423"/>
      <c r="I481" s="1423"/>
      <c r="J481" s="1423"/>
      <c r="K481" s="1423"/>
      <c r="L481" s="1423"/>
      <c r="M481" s="1423"/>
      <c r="N481" s="1423"/>
      <c r="O481" s="1423"/>
      <c r="P481" s="1423"/>
      <c r="Q481" s="1424"/>
      <c r="AB481" s="283"/>
    </row>
    <row r="482" spans="2:29" outlineLevel="1">
      <c r="B482" s="324" t="s">
        <v>764</v>
      </c>
      <c r="C482" s="1422">
        <v>0</v>
      </c>
      <c r="D482" s="1423"/>
      <c r="E482" s="1423"/>
      <c r="F482" s="1423"/>
      <c r="G482" s="1423"/>
      <c r="H482" s="1423"/>
      <c r="I482" s="1423"/>
      <c r="J482" s="1423"/>
      <c r="K482" s="1423"/>
      <c r="L482" s="1423"/>
      <c r="M482" s="1423"/>
      <c r="N482" s="1423"/>
      <c r="O482" s="1423"/>
      <c r="P482" s="1423"/>
      <c r="Q482" s="1424"/>
      <c r="AB482" s="283"/>
    </row>
    <row r="483" spans="2:29" outlineLevel="1">
      <c r="B483" s="326" t="s">
        <v>765</v>
      </c>
      <c r="C483" s="1443" t="s">
        <v>649</v>
      </c>
      <c r="D483" s="1444"/>
      <c r="E483" s="1444"/>
      <c r="F483" s="1444"/>
      <c r="G483" s="1444"/>
      <c r="H483" s="1444"/>
      <c r="I483" s="1444"/>
      <c r="J483" s="1444"/>
      <c r="K483" s="1444"/>
      <c r="L483" s="1444"/>
      <c r="M483" s="1444"/>
      <c r="N483" s="1444"/>
      <c r="O483" s="1444"/>
      <c r="P483" s="1444"/>
      <c r="Q483" s="1445"/>
      <c r="AB483" s="283"/>
    </row>
    <row r="484" spans="2:29">
      <c r="AB484" s="283"/>
    </row>
    <row r="485" spans="2:29">
      <c r="AB485" s="283"/>
    </row>
    <row r="486" spans="2:29">
      <c r="B486" s="312" t="s">
        <v>767</v>
      </c>
      <c r="C486" s="312"/>
      <c r="D486" s="171" t="s">
        <v>889</v>
      </c>
      <c r="E486" s="150"/>
      <c r="AB486" s="283"/>
    </row>
    <row r="487" spans="2:29" ht="27" outlineLevel="1">
      <c r="B487" s="325" t="s">
        <v>468</v>
      </c>
      <c r="C487" s="789" t="s">
        <v>1100</v>
      </c>
      <c r="D487" s="1449" t="s">
        <v>575</v>
      </c>
      <c r="E487" s="1450"/>
      <c r="F487" s="1450"/>
      <c r="G487" s="1450"/>
      <c r="H487" s="1450"/>
      <c r="I487" s="1450"/>
      <c r="J487" s="1450"/>
      <c r="K487" s="1450"/>
      <c r="L487" s="1450"/>
      <c r="M487" s="1450"/>
      <c r="N487" s="1450"/>
      <c r="O487" s="1450"/>
      <c r="P487" s="1450"/>
      <c r="Q487" s="1451"/>
      <c r="T487" s="196" t="s">
        <v>469</v>
      </c>
      <c r="U487" s="197" t="s">
        <v>469</v>
      </c>
      <c r="V487" s="197" t="s">
        <v>469</v>
      </c>
      <c r="W487" s="197" t="s">
        <v>469</v>
      </c>
      <c r="X487" s="197" t="s">
        <v>469</v>
      </c>
      <c r="Y487" s="197" t="s">
        <v>469</v>
      </c>
      <c r="Z487" s="197" t="s">
        <v>469</v>
      </c>
      <c r="AA487" s="278" t="s">
        <v>469</v>
      </c>
      <c r="AB487" s="296" t="s">
        <v>469</v>
      </c>
      <c r="AC487" s="197" t="s">
        <v>469</v>
      </c>
    </row>
    <row r="488" spans="2:29" outlineLevel="1">
      <c r="B488" s="324" t="s">
        <v>769</v>
      </c>
      <c r="C488" s="332">
        <v>0</v>
      </c>
      <c r="D488" s="1425" t="s">
        <v>1520</v>
      </c>
      <c r="E488" s="1425"/>
      <c r="F488" s="1425"/>
      <c r="G488" s="1425"/>
      <c r="H488" s="1425"/>
      <c r="I488" s="1425"/>
      <c r="J488" s="1425"/>
      <c r="K488" s="1425"/>
      <c r="L488" s="1425"/>
      <c r="M488" s="1425"/>
      <c r="N488" s="1425"/>
      <c r="O488" s="1425"/>
      <c r="P488" s="1425"/>
      <c r="Q488" s="1426"/>
      <c r="T488" s="496">
        <v>0</v>
      </c>
      <c r="U488" s="496">
        <v>0</v>
      </c>
      <c r="V488" s="496">
        <v>0</v>
      </c>
      <c r="W488" s="496">
        <v>0</v>
      </c>
      <c r="X488" s="496">
        <v>0</v>
      </c>
      <c r="Y488" s="496">
        <v>0</v>
      </c>
      <c r="Z488" s="496">
        <v>0</v>
      </c>
      <c r="AA488" s="496">
        <v>0</v>
      </c>
      <c r="AB488" s="496">
        <v>0</v>
      </c>
      <c r="AC488" s="496">
        <v>0</v>
      </c>
    </row>
    <row r="489" spans="2:29" outlineLevel="1">
      <c r="B489" s="324" t="s">
        <v>770</v>
      </c>
      <c r="C489" s="332">
        <v>0</v>
      </c>
      <c r="D489" s="1425" t="s">
        <v>1521</v>
      </c>
      <c r="E489" s="1425"/>
      <c r="F489" s="1425"/>
      <c r="G489" s="1425"/>
      <c r="H489" s="1425"/>
      <c r="I489" s="1425"/>
      <c r="J489" s="1425"/>
      <c r="K489" s="1425"/>
      <c r="L489" s="1425"/>
      <c r="M489" s="1425"/>
      <c r="N489" s="1425"/>
      <c r="O489" s="1425"/>
      <c r="P489" s="1425"/>
      <c r="Q489" s="1426"/>
      <c r="T489" s="496">
        <v>0</v>
      </c>
      <c r="U489" s="496">
        <v>0</v>
      </c>
      <c r="V489" s="496">
        <v>0</v>
      </c>
      <c r="W489" s="496">
        <v>0</v>
      </c>
      <c r="X489" s="496">
        <v>0</v>
      </c>
      <c r="Y489" s="496">
        <v>0</v>
      </c>
      <c r="Z489" s="496">
        <v>0</v>
      </c>
      <c r="AA489" s="496">
        <v>0</v>
      </c>
      <c r="AB489" s="496">
        <v>0</v>
      </c>
      <c r="AC489" s="496">
        <v>0</v>
      </c>
    </row>
    <row r="490" spans="2:29" outlineLevel="1">
      <c r="B490" s="324" t="s">
        <v>771</v>
      </c>
      <c r="C490" s="332">
        <v>0</v>
      </c>
      <c r="D490" s="1425" t="s">
        <v>1522</v>
      </c>
      <c r="E490" s="1425"/>
      <c r="F490" s="1425"/>
      <c r="G490" s="1425"/>
      <c r="H490" s="1425"/>
      <c r="I490" s="1425"/>
      <c r="J490" s="1425"/>
      <c r="K490" s="1425"/>
      <c r="L490" s="1425"/>
      <c r="M490" s="1425"/>
      <c r="N490" s="1425"/>
      <c r="O490" s="1425"/>
      <c r="P490" s="1425"/>
      <c r="Q490" s="1426"/>
      <c r="T490" s="496">
        <v>0</v>
      </c>
      <c r="U490" s="496">
        <v>0</v>
      </c>
      <c r="V490" s="496">
        <v>0</v>
      </c>
      <c r="W490" s="496">
        <v>0</v>
      </c>
      <c r="X490" s="496">
        <v>0</v>
      </c>
      <c r="Y490" s="496">
        <v>0</v>
      </c>
      <c r="Z490" s="496">
        <v>0</v>
      </c>
      <c r="AA490" s="496">
        <v>0</v>
      </c>
      <c r="AB490" s="496">
        <v>0</v>
      </c>
      <c r="AC490" s="496">
        <v>0</v>
      </c>
    </row>
    <row r="491" spans="2:29" outlineLevel="1">
      <c r="B491" s="324" t="s">
        <v>772</v>
      </c>
      <c r="C491" s="332">
        <v>0</v>
      </c>
      <c r="D491" s="1425" t="s">
        <v>1523</v>
      </c>
      <c r="E491" s="1425"/>
      <c r="F491" s="1425"/>
      <c r="G491" s="1425"/>
      <c r="H491" s="1425"/>
      <c r="I491" s="1425"/>
      <c r="J491" s="1425"/>
      <c r="K491" s="1425"/>
      <c r="L491" s="1425"/>
      <c r="M491" s="1425"/>
      <c r="N491" s="1425"/>
      <c r="O491" s="1425"/>
      <c r="P491" s="1425"/>
      <c r="Q491" s="1426"/>
      <c r="T491" s="496">
        <v>46.9</v>
      </c>
      <c r="U491" s="496">
        <v>46.9</v>
      </c>
      <c r="V491" s="496">
        <v>46.9</v>
      </c>
      <c r="W491" s="496">
        <v>46.9</v>
      </c>
      <c r="X491" s="496">
        <v>46.9</v>
      </c>
      <c r="Y491" s="496">
        <v>46.9</v>
      </c>
      <c r="Z491" s="496">
        <v>46.9</v>
      </c>
      <c r="AA491" s="496">
        <v>46.9</v>
      </c>
      <c r="AB491" s="496">
        <v>46.9</v>
      </c>
      <c r="AC491" s="496">
        <v>46.9</v>
      </c>
    </row>
    <row r="492" spans="2:29" outlineLevel="1">
      <c r="B492" s="324" t="s">
        <v>773</v>
      </c>
      <c r="C492" s="332">
        <v>0</v>
      </c>
      <c r="D492" s="1425" t="s">
        <v>1524</v>
      </c>
      <c r="E492" s="1425"/>
      <c r="F492" s="1425"/>
      <c r="G492" s="1425"/>
      <c r="H492" s="1425"/>
      <c r="I492" s="1425"/>
      <c r="J492" s="1425"/>
      <c r="K492" s="1425"/>
      <c r="L492" s="1425"/>
      <c r="M492" s="1425"/>
      <c r="N492" s="1425"/>
      <c r="O492" s="1425"/>
      <c r="P492" s="1425"/>
      <c r="Q492" s="1426"/>
      <c r="T492" s="496">
        <v>0</v>
      </c>
      <c r="U492" s="496">
        <v>0</v>
      </c>
      <c r="V492" s="496">
        <v>0</v>
      </c>
      <c r="W492" s="496">
        <v>0</v>
      </c>
      <c r="X492" s="496">
        <v>0</v>
      </c>
      <c r="Y492" s="496">
        <v>0</v>
      </c>
      <c r="Z492" s="496">
        <v>0</v>
      </c>
      <c r="AA492" s="496">
        <v>0</v>
      </c>
      <c r="AB492" s="496">
        <v>0</v>
      </c>
      <c r="AC492" s="496">
        <v>0</v>
      </c>
    </row>
    <row r="493" spans="2:29" outlineLevel="1">
      <c r="B493" s="324" t="s">
        <v>774</v>
      </c>
      <c r="C493" s="332">
        <v>0</v>
      </c>
      <c r="D493" s="1425" t="s">
        <v>1525</v>
      </c>
      <c r="E493" s="1425"/>
      <c r="F493" s="1425"/>
      <c r="G493" s="1425"/>
      <c r="H493" s="1425"/>
      <c r="I493" s="1425"/>
      <c r="J493" s="1425"/>
      <c r="K493" s="1425"/>
      <c r="L493" s="1425"/>
      <c r="M493" s="1425"/>
      <c r="N493" s="1425"/>
      <c r="O493" s="1425"/>
      <c r="P493" s="1425"/>
      <c r="Q493" s="1426"/>
      <c r="T493" s="496">
        <v>1.2</v>
      </c>
      <c r="U493" s="496">
        <v>1.2</v>
      </c>
      <c r="V493" s="496">
        <v>1.2</v>
      </c>
      <c r="W493" s="496">
        <v>1.2</v>
      </c>
      <c r="X493" s="496">
        <v>1.2</v>
      </c>
      <c r="Y493" s="496">
        <v>1.2</v>
      </c>
      <c r="Z493" s="496">
        <v>1.2</v>
      </c>
      <c r="AA493" s="496">
        <v>1.2</v>
      </c>
      <c r="AB493" s="496">
        <v>1.2</v>
      </c>
      <c r="AC493" s="496">
        <v>1.2</v>
      </c>
    </row>
    <row r="494" spans="2:29" outlineLevel="1">
      <c r="B494" s="324" t="s">
        <v>775</v>
      </c>
      <c r="C494" s="332">
        <v>0</v>
      </c>
      <c r="D494" s="1425" t="s">
        <v>1526</v>
      </c>
      <c r="E494" s="1425"/>
      <c r="F494" s="1425"/>
      <c r="G494" s="1425"/>
      <c r="H494" s="1425"/>
      <c r="I494" s="1425"/>
      <c r="J494" s="1425"/>
      <c r="K494" s="1425"/>
      <c r="L494" s="1425"/>
      <c r="M494" s="1425"/>
      <c r="N494" s="1425"/>
      <c r="O494" s="1425"/>
      <c r="P494" s="1425"/>
      <c r="Q494" s="1426"/>
      <c r="T494" s="496">
        <v>0</v>
      </c>
      <c r="U494" s="496">
        <v>0</v>
      </c>
      <c r="V494" s="496">
        <v>0</v>
      </c>
      <c r="W494" s="496">
        <v>0</v>
      </c>
      <c r="X494" s="496">
        <v>0</v>
      </c>
      <c r="Y494" s="496">
        <v>0</v>
      </c>
      <c r="Z494" s="496">
        <v>0</v>
      </c>
      <c r="AA494" s="496">
        <v>0</v>
      </c>
      <c r="AB494" s="496">
        <v>0</v>
      </c>
      <c r="AC494" s="496">
        <v>0</v>
      </c>
    </row>
    <row r="495" spans="2:29" outlineLevel="1">
      <c r="B495" s="324" t="s">
        <v>776</v>
      </c>
      <c r="C495" s="332">
        <v>0</v>
      </c>
      <c r="D495" s="1425" t="s">
        <v>1527</v>
      </c>
      <c r="E495" s="1425"/>
      <c r="F495" s="1425"/>
      <c r="G495" s="1425"/>
      <c r="H495" s="1425"/>
      <c r="I495" s="1425"/>
      <c r="J495" s="1425"/>
      <c r="K495" s="1425"/>
      <c r="L495" s="1425"/>
      <c r="M495" s="1425"/>
      <c r="N495" s="1425"/>
      <c r="O495" s="1425"/>
      <c r="P495" s="1425"/>
      <c r="Q495" s="1426"/>
      <c r="T495" s="496">
        <v>0</v>
      </c>
      <c r="U495" s="496">
        <v>0</v>
      </c>
      <c r="V495" s="496">
        <v>0</v>
      </c>
      <c r="W495" s="496">
        <v>0</v>
      </c>
      <c r="X495" s="496">
        <v>0</v>
      </c>
      <c r="Y495" s="496">
        <v>0</v>
      </c>
      <c r="Z495" s="496">
        <v>0</v>
      </c>
      <c r="AA495" s="496">
        <v>0</v>
      </c>
      <c r="AB495" s="496">
        <v>0</v>
      </c>
      <c r="AC495" s="496">
        <v>0</v>
      </c>
    </row>
    <row r="496" spans="2:29" outlineLevel="1">
      <c r="B496" s="324" t="s">
        <v>777</v>
      </c>
      <c r="C496" s="332">
        <v>0</v>
      </c>
      <c r="D496" s="1425" t="s">
        <v>1528</v>
      </c>
      <c r="E496" s="1425"/>
      <c r="F496" s="1425"/>
      <c r="G496" s="1425"/>
      <c r="H496" s="1425"/>
      <c r="I496" s="1425"/>
      <c r="J496" s="1425"/>
      <c r="K496" s="1425"/>
      <c r="L496" s="1425"/>
      <c r="M496" s="1425"/>
      <c r="N496" s="1425"/>
      <c r="O496" s="1425"/>
      <c r="P496" s="1425"/>
      <c r="Q496" s="1426"/>
      <c r="T496" s="496">
        <v>0</v>
      </c>
      <c r="U496" s="496">
        <v>0</v>
      </c>
      <c r="V496" s="496">
        <v>0</v>
      </c>
      <c r="W496" s="496">
        <v>0</v>
      </c>
      <c r="X496" s="496">
        <v>0</v>
      </c>
      <c r="Y496" s="496">
        <v>0</v>
      </c>
      <c r="Z496" s="496">
        <v>0</v>
      </c>
      <c r="AA496" s="496">
        <v>0</v>
      </c>
      <c r="AB496" s="496">
        <v>0</v>
      </c>
      <c r="AC496" s="496">
        <v>0</v>
      </c>
    </row>
    <row r="497" spans="2:29" outlineLevel="1">
      <c r="B497" s="324" t="s">
        <v>778</v>
      </c>
      <c r="C497" s="332">
        <v>0</v>
      </c>
      <c r="D497" s="1425" t="s">
        <v>1529</v>
      </c>
      <c r="E497" s="1425"/>
      <c r="F497" s="1425"/>
      <c r="G497" s="1425"/>
      <c r="H497" s="1425"/>
      <c r="I497" s="1425"/>
      <c r="J497" s="1425"/>
      <c r="K497" s="1425"/>
      <c r="L497" s="1425"/>
      <c r="M497" s="1425"/>
      <c r="N497" s="1425"/>
      <c r="O497" s="1425"/>
      <c r="P497" s="1425"/>
      <c r="Q497" s="1426"/>
      <c r="T497" s="496">
        <v>1.7</v>
      </c>
      <c r="U497" s="496">
        <v>1.7</v>
      </c>
      <c r="V497" s="496">
        <v>1.7</v>
      </c>
      <c r="W497" s="496">
        <v>1.7</v>
      </c>
      <c r="X497" s="496">
        <v>1.7</v>
      </c>
      <c r="Y497" s="496">
        <v>1.7</v>
      </c>
      <c r="Z497" s="496">
        <v>1.7</v>
      </c>
      <c r="AA497" s="496">
        <v>1.7</v>
      </c>
      <c r="AB497" s="496">
        <v>1.7</v>
      </c>
      <c r="AC497" s="496">
        <v>1.7</v>
      </c>
    </row>
    <row r="498" spans="2:29" outlineLevel="1">
      <c r="B498" s="324" t="s">
        <v>779</v>
      </c>
      <c r="C498" s="332">
        <v>0</v>
      </c>
      <c r="D498" s="1425" t="s">
        <v>1530</v>
      </c>
      <c r="E498" s="1425"/>
      <c r="F498" s="1425"/>
      <c r="G498" s="1425"/>
      <c r="H498" s="1425"/>
      <c r="I498" s="1425"/>
      <c r="J498" s="1425"/>
      <c r="K498" s="1425"/>
      <c r="L498" s="1425"/>
      <c r="M498" s="1425"/>
      <c r="N498" s="1425"/>
      <c r="O498" s="1425"/>
      <c r="P498" s="1425"/>
      <c r="Q498" s="1426"/>
      <c r="T498" s="496">
        <v>0</v>
      </c>
      <c r="U498" s="496">
        <v>0</v>
      </c>
      <c r="V498" s="496">
        <v>0</v>
      </c>
      <c r="W498" s="496">
        <v>0</v>
      </c>
      <c r="X498" s="496">
        <v>0</v>
      </c>
      <c r="Y498" s="496">
        <v>0</v>
      </c>
      <c r="Z498" s="496">
        <v>0</v>
      </c>
      <c r="AA498" s="496">
        <v>0</v>
      </c>
      <c r="AB498" s="496">
        <v>0</v>
      </c>
      <c r="AC498" s="496">
        <v>0</v>
      </c>
    </row>
    <row r="499" spans="2:29" outlineLevel="1">
      <c r="B499" s="324" t="s">
        <v>780</v>
      </c>
      <c r="C499" s="332">
        <v>0</v>
      </c>
      <c r="D499" s="1425" t="s">
        <v>813</v>
      </c>
      <c r="E499" s="1425"/>
      <c r="F499" s="1425"/>
      <c r="G499" s="1425"/>
      <c r="H499" s="1425"/>
      <c r="I499" s="1425"/>
      <c r="J499" s="1425"/>
      <c r="K499" s="1425"/>
      <c r="L499" s="1425"/>
      <c r="M499" s="1425"/>
      <c r="N499" s="1425"/>
      <c r="O499" s="1425"/>
      <c r="P499" s="1425"/>
      <c r="Q499" s="1426"/>
      <c r="T499" s="496">
        <v>0</v>
      </c>
      <c r="U499" s="496">
        <v>0</v>
      </c>
      <c r="V499" s="496">
        <v>0</v>
      </c>
      <c r="W499" s="496">
        <v>0</v>
      </c>
      <c r="X499" s="496">
        <v>0</v>
      </c>
      <c r="Y499" s="496">
        <v>0</v>
      </c>
      <c r="Z499" s="496">
        <v>0</v>
      </c>
      <c r="AA499" s="496">
        <v>0</v>
      </c>
      <c r="AB499" s="496">
        <v>0</v>
      </c>
      <c r="AC499" s="496">
        <v>0</v>
      </c>
    </row>
    <row r="500" spans="2:29" outlineLevel="1">
      <c r="B500" s="324" t="s">
        <v>781</v>
      </c>
      <c r="C500" s="332">
        <v>0</v>
      </c>
      <c r="D500" s="1425" t="s">
        <v>1531</v>
      </c>
      <c r="E500" s="1425"/>
      <c r="F500" s="1425"/>
      <c r="G500" s="1425"/>
      <c r="H500" s="1425"/>
      <c r="I500" s="1425"/>
      <c r="J500" s="1425"/>
      <c r="K500" s="1425"/>
      <c r="L500" s="1425"/>
      <c r="M500" s="1425"/>
      <c r="N500" s="1425"/>
      <c r="O500" s="1425"/>
      <c r="P500" s="1425"/>
      <c r="Q500" s="1426"/>
      <c r="T500" s="496">
        <v>0</v>
      </c>
      <c r="U500" s="496">
        <v>0</v>
      </c>
      <c r="V500" s="496">
        <v>0</v>
      </c>
      <c r="W500" s="496">
        <v>0</v>
      </c>
      <c r="X500" s="496">
        <v>0</v>
      </c>
      <c r="Y500" s="496">
        <v>0</v>
      </c>
      <c r="Z500" s="496">
        <v>0</v>
      </c>
      <c r="AA500" s="496">
        <v>0</v>
      </c>
      <c r="AB500" s="496">
        <v>0</v>
      </c>
      <c r="AC500" s="496">
        <v>0</v>
      </c>
    </row>
    <row r="501" spans="2:29" outlineLevel="1">
      <c r="B501" s="324" t="s">
        <v>782</v>
      </c>
      <c r="C501" s="332">
        <v>0</v>
      </c>
      <c r="D501" s="1425"/>
      <c r="E501" s="1425"/>
      <c r="F501" s="1425"/>
      <c r="G501" s="1425"/>
      <c r="H501" s="1425"/>
      <c r="I501" s="1425"/>
      <c r="J501" s="1425"/>
      <c r="K501" s="1425"/>
      <c r="L501" s="1425"/>
      <c r="M501" s="1425"/>
      <c r="N501" s="1425"/>
      <c r="O501" s="1425"/>
      <c r="P501" s="1425"/>
      <c r="Q501" s="1426"/>
      <c r="T501" s="496">
        <v>0</v>
      </c>
      <c r="U501" s="496">
        <v>0</v>
      </c>
      <c r="V501" s="496">
        <v>0</v>
      </c>
      <c r="W501" s="496">
        <v>0</v>
      </c>
      <c r="X501" s="496">
        <v>0</v>
      </c>
      <c r="Y501" s="496">
        <v>0</v>
      </c>
      <c r="Z501" s="496">
        <v>0</v>
      </c>
      <c r="AA501" s="496">
        <v>0</v>
      </c>
      <c r="AB501" s="496">
        <v>0</v>
      </c>
      <c r="AC501" s="496">
        <v>0</v>
      </c>
    </row>
    <row r="502" spans="2:29" outlineLevel="1">
      <c r="B502" s="324" t="s">
        <v>783</v>
      </c>
      <c r="C502" s="332">
        <v>0</v>
      </c>
      <c r="D502" s="1425"/>
      <c r="E502" s="1425"/>
      <c r="F502" s="1425"/>
      <c r="G502" s="1425"/>
      <c r="H502" s="1425"/>
      <c r="I502" s="1425"/>
      <c r="J502" s="1425"/>
      <c r="K502" s="1425"/>
      <c r="L502" s="1425"/>
      <c r="M502" s="1425"/>
      <c r="N502" s="1425"/>
      <c r="O502" s="1425"/>
      <c r="P502" s="1425"/>
      <c r="Q502" s="1426"/>
      <c r="T502" s="496">
        <v>0</v>
      </c>
      <c r="U502" s="496">
        <v>0</v>
      </c>
      <c r="V502" s="496">
        <v>0</v>
      </c>
      <c r="W502" s="496">
        <v>0</v>
      </c>
      <c r="X502" s="496">
        <v>0</v>
      </c>
      <c r="Y502" s="496">
        <v>0</v>
      </c>
      <c r="Z502" s="496">
        <v>0</v>
      </c>
      <c r="AA502" s="496">
        <v>0</v>
      </c>
      <c r="AB502" s="496">
        <v>0</v>
      </c>
      <c r="AC502" s="496">
        <v>0</v>
      </c>
    </row>
    <row r="503" spans="2:29" outlineLevel="1">
      <c r="B503" s="326" t="s">
        <v>784</v>
      </c>
      <c r="C503" s="1443" t="s">
        <v>649</v>
      </c>
      <c r="D503" s="1444"/>
      <c r="E503" s="1444"/>
      <c r="F503" s="1444"/>
      <c r="G503" s="1444"/>
      <c r="H503" s="1444"/>
      <c r="I503" s="1444"/>
      <c r="J503" s="1444"/>
      <c r="K503" s="1444"/>
      <c r="L503" s="1444"/>
      <c r="M503" s="1444"/>
      <c r="N503" s="1444"/>
      <c r="O503" s="1444"/>
      <c r="P503" s="1444"/>
      <c r="Q503" s="1445"/>
      <c r="T503" s="496">
        <v>0</v>
      </c>
      <c r="U503" s="496">
        <v>0</v>
      </c>
      <c r="V503" s="496">
        <v>0</v>
      </c>
      <c r="W503" s="496">
        <v>0</v>
      </c>
      <c r="X503" s="496">
        <v>0</v>
      </c>
      <c r="Y503" s="496">
        <v>0</v>
      </c>
      <c r="Z503" s="496">
        <v>0</v>
      </c>
      <c r="AA503" s="496">
        <v>0</v>
      </c>
      <c r="AB503" s="496">
        <v>0</v>
      </c>
      <c r="AC503" s="496">
        <v>0</v>
      </c>
    </row>
    <row r="504" spans="2:29">
      <c r="F504" s="169"/>
      <c r="G504" s="169"/>
      <c r="H504" s="169"/>
      <c r="I504" s="169"/>
      <c r="S504" s="985" t="s">
        <v>785</v>
      </c>
      <c r="T504" s="474">
        <f t="shared" ref="T504:AC504" si="12">SUM(T488:T503)</f>
        <v>49.800000000000004</v>
      </c>
      <c r="U504" s="475">
        <f t="shared" si="12"/>
        <v>49.800000000000004</v>
      </c>
      <c r="V504" s="475">
        <f t="shared" si="12"/>
        <v>49.800000000000004</v>
      </c>
      <c r="W504" s="475">
        <f t="shared" si="12"/>
        <v>49.800000000000004</v>
      </c>
      <c r="X504" s="475">
        <f t="shared" si="12"/>
        <v>49.800000000000004</v>
      </c>
      <c r="Y504" s="475">
        <f t="shared" si="12"/>
        <v>49.800000000000004</v>
      </c>
      <c r="Z504" s="475">
        <f t="shared" si="12"/>
        <v>49.800000000000004</v>
      </c>
      <c r="AA504" s="476">
        <f t="shared" si="12"/>
        <v>49.800000000000004</v>
      </c>
      <c r="AB504" s="477">
        <f t="shared" si="12"/>
        <v>49.800000000000004</v>
      </c>
      <c r="AC504" s="475">
        <f t="shared" si="12"/>
        <v>49.800000000000004</v>
      </c>
    </row>
    <row r="505" spans="2:29" outlineLevel="1">
      <c r="B505" s="325" t="s">
        <v>468</v>
      </c>
      <c r="C505" s="1439" t="s">
        <v>1236</v>
      </c>
      <c r="D505" s="1440"/>
      <c r="E505" s="1440"/>
      <c r="F505" s="1440"/>
      <c r="G505" s="1440"/>
      <c r="H505" s="1440"/>
      <c r="I505" s="1440"/>
      <c r="J505" s="1440"/>
      <c r="K505" s="1440"/>
      <c r="L505" s="1440"/>
      <c r="M505" s="1440"/>
      <c r="N505" s="1440"/>
      <c r="O505" s="1440"/>
      <c r="P505" s="1440"/>
      <c r="Q505" s="1441"/>
      <c r="AB505" s="283"/>
    </row>
    <row r="506" spans="2:29" outlineLevel="1">
      <c r="B506" s="324" t="s">
        <v>769</v>
      </c>
      <c r="C506" s="1422">
        <v>0</v>
      </c>
      <c r="D506" s="1423"/>
      <c r="E506" s="1423"/>
      <c r="F506" s="1423"/>
      <c r="G506" s="1423"/>
      <c r="H506" s="1423"/>
      <c r="I506" s="1423"/>
      <c r="J506" s="1423"/>
      <c r="K506" s="1423"/>
      <c r="L506" s="1423"/>
      <c r="M506" s="1423"/>
      <c r="N506" s="1423"/>
      <c r="O506" s="1423"/>
      <c r="P506" s="1423"/>
      <c r="Q506" s="1424"/>
      <c r="AB506" s="283"/>
    </row>
    <row r="507" spans="2:29" outlineLevel="1">
      <c r="B507" s="324" t="s">
        <v>770</v>
      </c>
      <c r="C507" s="1422">
        <v>0</v>
      </c>
      <c r="D507" s="1423"/>
      <c r="E507" s="1423"/>
      <c r="F507" s="1423"/>
      <c r="G507" s="1423"/>
      <c r="H507" s="1423"/>
      <c r="I507" s="1423"/>
      <c r="J507" s="1423"/>
      <c r="K507" s="1423"/>
      <c r="L507" s="1423"/>
      <c r="M507" s="1423"/>
      <c r="N507" s="1423"/>
      <c r="O507" s="1423"/>
      <c r="P507" s="1423"/>
      <c r="Q507" s="1424"/>
      <c r="AB507" s="283"/>
    </row>
    <row r="508" spans="2:29" outlineLevel="1">
      <c r="B508" s="324" t="s">
        <v>771</v>
      </c>
      <c r="C508" s="1422">
        <v>0</v>
      </c>
      <c r="D508" s="1423"/>
      <c r="E508" s="1423"/>
      <c r="F508" s="1423"/>
      <c r="G508" s="1423"/>
      <c r="H508" s="1423"/>
      <c r="I508" s="1423"/>
      <c r="J508" s="1423"/>
      <c r="K508" s="1423"/>
      <c r="L508" s="1423"/>
      <c r="M508" s="1423"/>
      <c r="N508" s="1423"/>
      <c r="O508" s="1423"/>
      <c r="P508" s="1423"/>
      <c r="Q508" s="1424"/>
      <c r="AB508" s="283"/>
    </row>
    <row r="509" spans="2:29" outlineLevel="1">
      <c r="B509" s="324" t="s">
        <v>772</v>
      </c>
      <c r="C509" s="1422">
        <v>0</v>
      </c>
      <c r="D509" s="1423"/>
      <c r="E509" s="1423"/>
      <c r="F509" s="1423"/>
      <c r="G509" s="1423"/>
      <c r="H509" s="1423"/>
      <c r="I509" s="1423"/>
      <c r="J509" s="1423"/>
      <c r="K509" s="1423"/>
      <c r="L509" s="1423"/>
      <c r="M509" s="1423"/>
      <c r="N509" s="1423"/>
      <c r="O509" s="1423"/>
      <c r="P509" s="1423"/>
      <c r="Q509" s="1424"/>
      <c r="AB509" s="283"/>
    </row>
    <row r="510" spans="2:29" outlineLevel="1">
      <c r="B510" s="326" t="s">
        <v>784</v>
      </c>
      <c r="C510" s="1443" t="s">
        <v>649</v>
      </c>
      <c r="D510" s="1444"/>
      <c r="E510" s="1444"/>
      <c r="F510" s="1444"/>
      <c r="G510" s="1444"/>
      <c r="H510" s="1444"/>
      <c r="I510" s="1444"/>
      <c r="J510" s="1444"/>
      <c r="K510" s="1444"/>
      <c r="L510" s="1444"/>
      <c r="M510" s="1444"/>
      <c r="N510" s="1444"/>
      <c r="O510" s="1444"/>
      <c r="P510" s="1444"/>
      <c r="Q510" s="1445"/>
      <c r="AB510" s="283"/>
    </row>
    <row r="511" spans="2:29">
      <c r="AB511" s="283"/>
    </row>
    <row r="512" spans="2:29">
      <c r="AB512" s="283"/>
    </row>
    <row r="513" spans="2:29">
      <c r="B513" s="312" t="s">
        <v>786</v>
      </c>
      <c r="C513" s="312"/>
      <c r="D513" s="171" t="s">
        <v>890</v>
      </c>
      <c r="E513" s="150"/>
      <c r="AB513" s="283"/>
    </row>
    <row r="514" spans="2:29" ht="27" outlineLevel="1">
      <c r="B514" s="325" t="s">
        <v>468</v>
      </c>
      <c r="C514" s="789" t="s">
        <v>1100</v>
      </c>
      <c r="D514" s="1449" t="s">
        <v>575</v>
      </c>
      <c r="E514" s="1450"/>
      <c r="F514" s="1450"/>
      <c r="G514" s="1450"/>
      <c r="H514" s="1450"/>
      <c r="I514" s="1450"/>
      <c r="J514" s="1450"/>
      <c r="K514" s="1450"/>
      <c r="L514" s="1450"/>
      <c r="M514" s="1450"/>
      <c r="N514" s="1450"/>
      <c r="O514" s="1450"/>
      <c r="P514" s="1450"/>
      <c r="Q514" s="1451"/>
      <c r="T514" s="196" t="s">
        <v>469</v>
      </c>
      <c r="U514" s="197" t="s">
        <v>469</v>
      </c>
      <c r="V514" s="197" t="s">
        <v>469</v>
      </c>
      <c r="W514" s="197" t="s">
        <v>469</v>
      </c>
      <c r="X514" s="197" t="s">
        <v>469</v>
      </c>
      <c r="Y514" s="197" t="s">
        <v>469</v>
      </c>
      <c r="Z514" s="197" t="s">
        <v>469</v>
      </c>
      <c r="AA514" s="278" t="s">
        <v>469</v>
      </c>
      <c r="AB514" s="296" t="s">
        <v>469</v>
      </c>
      <c r="AC514" s="197" t="s">
        <v>469</v>
      </c>
    </row>
    <row r="515" spans="2:29" outlineLevel="1">
      <c r="B515" s="324" t="s">
        <v>788</v>
      </c>
      <c r="C515" s="332">
        <v>0</v>
      </c>
      <c r="D515" s="1425"/>
      <c r="E515" s="1425"/>
      <c r="F515" s="1425"/>
      <c r="G515" s="1425"/>
      <c r="H515" s="1425"/>
      <c r="I515" s="1425"/>
      <c r="J515" s="1425"/>
      <c r="K515" s="1425"/>
      <c r="L515" s="1425"/>
      <c r="M515" s="1425"/>
      <c r="N515" s="1425"/>
      <c r="O515" s="1425"/>
      <c r="P515" s="1425"/>
      <c r="Q515" s="1426"/>
      <c r="T515" s="496">
        <v>0</v>
      </c>
      <c r="U515" s="496">
        <v>0</v>
      </c>
      <c r="V515" s="496">
        <v>0</v>
      </c>
      <c r="W515" s="496">
        <v>0</v>
      </c>
      <c r="X515" s="496">
        <v>0</v>
      </c>
      <c r="Y515" s="496">
        <v>0</v>
      </c>
      <c r="Z515" s="496">
        <v>0</v>
      </c>
      <c r="AA515" s="496">
        <v>0</v>
      </c>
      <c r="AB515" s="496">
        <v>0</v>
      </c>
      <c r="AC515" s="496">
        <v>0</v>
      </c>
    </row>
    <row r="516" spans="2:29" outlineLevel="1">
      <c r="B516" s="324" t="s">
        <v>789</v>
      </c>
      <c r="C516" s="332">
        <v>0</v>
      </c>
      <c r="D516" s="1425"/>
      <c r="E516" s="1425"/>
      <c r="F516" s="1425"/>
      <c r="G516" s="1425"/>
      <c r="H516" s="1425"/>
      <c r="I516" s="1425"/>
      <c r="J516" s="1425"/>
      <c r="K516" s="1425"/>
      <c r="L516" s="1425"/>
      <c r="M516" s="1425"/>
      <c r="N516" s="1425"/>
      <c r="O516" s="1425"/>
      <c r="P516" s="1425"/>
      <c r="Q516" s="1426"/>
      <c r="T516" s="496">
        <v>0</v>
      </c>
      <c r="U516" s="496">
        <v>0</v>
      </c>
      <c r="V516" s="496">
        <v>0</v>
      </c>
      <c r="W516" s="496">
        <v>0</v>
      </c>
      <c r="X516" s="496">
        <v>0</v>
      </c>
      <c r="Y516" s="496">
        <v>0</v>
      </c>
      <c r="Z516" s="496">
        <v>0</v>
      </c>
      <c r="AA516" s="496">
        <v>0</v>
      </c>
      <c r="AB516" s="496">
        <v>0</v>
      </c>
      <c r="AC516" s="496">
        <v>0</v>
      </c>
    </row>
    <row r="517" spans="2:29" outlineLevel="1">
      <c r="B517" s="324" t="s">
        <v>790</v>
      </c>
      <c r="C517" s="332">
        <v>0</v>
      </c>
      <c r="D517" s="1425"/>
      <c r="E517" s="1425"/>
      <c r="F517" s="1425"/>
      <c r="G517" s="1425"/>
      <c r="H517" s="1425"/>
      <c r="I517" s="1425"/>
      <c r="J517" s="1425"/>
      <c r="K517" s="1425"/>
      <c r="L517" s="1425"/>
      <c r="M517" s="1425"/>
      <c r="N517" s="1425"/>
      <c r="O517" s="1425"/>
      <c r="P517" s="1425"/>
      <c r="Q517" s="1426"/>
      <c r="T517" s="496">
        <v>0</v>
      </c>
      <c r="U517" s="496">
        <v>0</v>
      </c>
      <c r="V517" s="496">
        <v>0</v>
      </c>
      <c r="W517" s="496">
        <v>0</v>
      </c>
      <c r="X517" s="496">
        <v>0</v>
      </c>
      <c r="Y517" s="496">
        <v>0</v>
      </c>
      <c r="Z517" s="496">
        <v>0</v>
      </c>
      <c r="AA517" s="496">
        <v>0</v>
      </c>
      <c r="AB517" s="496">
        <v>0</v>
      </c>
      <c r="AC517" s="496">
        <v>0</v>
      </c>
    </row>
    <row r="518" spans="2:29" outlineLevel="1">
      <c r="B518" s="324" t="s">
        <v>791</v>
      </c>
      <c r="C518" s="332">
        <v>0</v>
      </c>
      <c r="D518" s="1425"/>
      <c r="E518" s="1425"/>
      <c r="F518" s="1425"/>
      <c r="G518" s="1425"/>
      <c r="H518" s="1425"/>
      <c r="I518" s="1425"/>
      <c r="J518" s="1425"/>
      <c r="K518" s="1425"/>
      <c r="L518" s="1425"/>
      <c r="M518" s="1425"/>
      <c r="N518" s="1425"/>
      <c r="O518" s="1425"/>
      <c r="P518" s="1425"/>
      <c r="Q518" s="1426"/>
      <c r="T518" s="496">
        <v>0</v>
      </c>
      <c r="U518" s="496">
        <v>0</v>
      </c>
      <c r="V518" s="496">
        <v>0</v>
      </c>
      <c r="W518" s="496">
        <v>0</v>
      </c>
      <c r="X518" s="496">
        <v>0</v>
      </c>
      <c r="Y518" s="496">
        <v>0</v>
      </c>
      <c r="Z518" s="496">
        <v>0</v>
      </c>
      <c r="AA518" s="496">
        <v>0</v>
      </c>
      <c r="AB518" s="496">
        <v>0</v>
      </c>
      <c r="AC518" s="496">
        <v>0</v>
      </c>
    </row>
    <row r="519" spans="2:29" outlineLevel="1">
      <c r="B519" s="326" t="s">
        <v>792</v>
      </c>
      <c r="C519" s="1443" t="s">
        <v>649</v>
      </c>
      <c r="D519" s="1444"/>
      <c r="E519" s="1444"/>
      <c r="F519" s="1444"/>
      <c r="G519" s="1444"/>
      <c r="H519" s="1444"/>
      <c r="I519" s="1444"/>
      <c r="J519" s="1444"/>
      <c r="K519" s="1444"/>
      <c r="L519" s="1444"/>
      <c r="M519" s="1444"/>
      <c r="N519" s="1444"/>
      <c r="O519" s="1444"/>
      <c r="P519" s="1444"/>
      <c r="Q519" s="1445"/>
      <c r="T519" s="496">
        <v>0</v>
      </c>
      <c r="U519" s="496">
        <v>0</v>
      </c>
      <c r="V519" s="496">
        <v>0</v>
      </c>
      <c r="W519" s="496">
        <v>0</v>
      </c>
      <c r="X519" s="496">
        <v>0</v>
      </c>
      <c r="Y519" s="496">
        <v>0</v>
      </c>
      <c r="Z519" s="496">
        <v>0</v>
      </c>
      <c r="AA519" s="496">
        <v>0</v>
      </c>
      <c r="AB519" s="496">
        <v>0</v>
      </c>
      <c r="AC519" s="496">
        <v>0</v>
      </c>
    </row>
    <row r="520" spans="2:29">
      <c r="C520" s="1439"/>
      <c r="D520" s="1440"/>
      <c r="E520" s="1440"/>
      <c r="F520" s="1440"/>
      <c r="G520" s="1440"/>
      <c r="H520" s="1440"/>
      <c r="I520" s="1440"/>
      <c r="J520" s="1440"/>
      <c r="K520" s="1440"/>
      <c r="L520" s="1440"/>
      <c r="M520" s="1440"/>
      <c r="N520" s="1440"/>
      <c r="O520" s="1440"/>
      <c r="P520" s="1440"/>
      <c r="Q520" s="1441"/>
      <c r="R520" s="151" t="s">
        <v>1519</v>
      </c>
      <c r="S520" s="985" t="s">
        <v>793</v>
      </c>
      <c r="T520" s="474">
        <f t="shared" ref="T520:AC520" si="13">SUM(T515:T519)</f>
        <v>0</v>
      </c>
      <c r="U520" s="475">
        <f t="shared" si="13"/>
        <v>0</v>
      </c>
      <c r="V520" s="475">
        <f t="shared" si="13"/>
        <v>0</v>
      </c>
      <c r="W520" s="475">
        <f t="shared" si="13"/>
        <v>0</v>
      </c>
      <c r="X520" s="475">
        <f t="shared" si="13"/>
        <v>0</v>
      </c>
      <c r="Y520" s="475">
        <f t="shared" si="13"/>
        <v>0</v>
      </c>
      <c r="Z520" s="475">
        <f t="shared" si="13"/>
        <v>0</v>
      </c>
      <c r="AA520" s="476">
        <f t="shared" si="13"/>
        <v>0</v>
      </c>
      <c r="AB520" s="477">
        <f t="shared" si="13"/>
        <v>0</v>
      </c>
      <c r="AC520" s="475">
        <f t="shared" si="13"/>
        <v>0</v>
      </c>
    </row>
    <row r="521" spans="2:29" outlineLevel="1">
      <c r="B521" s="325" t="s">
        <v>468</v>
      </c>
      <c r="C521" s="1439" t="s">
        <v>1236</v>
      </c>
      <c r="D521" s="1440"/>
      <c r="E521" s="1440"/>
      <c r="F521" s="1440"/>
      <c r="G521" s="1440"/>
      <c r="H521" s="1440"/>
      <c r="I521" s="1440"/>
      <c r="J521" s="1440"/>
      <c r="K521" s="1440"/>
      <c r="L521" s="1440"/>
      <c r="M521" s="1440"/>
      <c r="N521" s="1440"/>
      <c r="O521" s="1440"/>
      <c r="P521" s="1440"/>
      <c r="Q521" s="1441"/>
      <c r="AB521" s="283"/>
    </row>
    <row r="522" spans="2:29" outlineLevel="1">
      <c r="B522" s="324" t="s">
        <v>788</v>
      </c>
      <c r="C522" s="1422">
        <v>0</v>
      </c>
      <c r="D522" s="1423"/>
      <c r="E522" s="1423"/>
      <c r="F522" s="1423"/>
      <c r="G522" s="1423"/>
      <c r="H522" s="1423"/>
      <c r="I522" s="1423"/>
      <c r="J522" s="1423"/>
      <c r="K522" s="1423"/>
      <c r="L522" s="1423"/>
      <c r="M522" s="1423"/>
      <c r="N522" s="1423"/>
      <c r="O522" s="1423"/>
      <c r="P522" s="1423"/>
      <c r="Q522" s="1424"/>
      <c r="AB522" s="283"/>
    </row>
    <row r="523" spans="2:29" outlineLevel="1">
      <c r="B523" s="324" t="s">
        <v>789</v>
      </c>
      <c r="C523" s="1422">
        <v>0</v>
      </c>
      <c r="D523" s="1423"/>
      <c r="E523" s="1423"/>
      <c r="F523" s="1423"/>
      <c r="G523" s="1423"/>
      <c r="H523" s="1423"/>
      <c r="I523" s="1423"/>
      <c r="J523" s="1423"/>
      <c r="K523" s="1423"/>
      <c r="L523" s="1423"/>
      <c r="M523" s="1423"/>
      <c r="N523" s="1423"/>
      <c r="O523" s="1423"/>
      <c r="P523" s="1423"/>
      <c r="Q523" s="1424"/>
      <c r="AB523" s="283"/>
    </row>
    <row r="524" spans="2:29" outlineLevel="1">
      <c r="B524" s="324" t="s">
        <v>790</v>
      </c>
      <c r="C524" s="1422">
        <v>0</v>
      </c>
      <c r="D524" s="1423"/>
      <c r="E524" s="1423"/>
      <c r="F524" s="1423"/>
      <c r="G524" s="1423"/>
      <c r="H524" s="1423"/>
      <c r="I524" s="1423"/>
      <c r="J524" s="1423"/>
      <c r="K524" s="1423"/>
      <c r="L524" s="1423"/>
      <c r="M524" s="1423"/>
      <c r="N524" s="1423"/>
      <c r="O524" s="1423"/>
      <c r="P524" s="1423"/>
      <c r="Q524" s="1424"/>
      <c r="AB524" s="283"/>
    </row>
    <row r="525" spans="2:29" outlineLevel="1">
      <c r="B525" s="324" t="s">
        <v>791</v>
      </c>
      <c r="C525" s="1422">
        <v>0</v>
      </c>
      <c r="D525" s="1423"/>
      <c r="E525" s="1423"/>
      <c r="F525" s="1423"/>
      <c r="G525" s="1423"/>
      <c r="H525" s="1423"/>
      <c r="I525" s="1423"/>
      <c r="J525" s="1423"/>
      <c r="K525" s="1423"/>
      <c r="L525" s="1423"/>
      <c r="M525" s="1423"/>
      <c r="N525" s="1423"/>
      <c r="O525" s="1423"/>
      <c r="P525" s="1423"/>
      <c r="Q525" s="1424"/>
      <c r="AB525" s="283"/>
    </row>
    <row r="526" spans="2:29" outlineLevel="1">
      <c r="B526" s="326" t="s">
        <v>792</v>
      </c>
      <c r="C526" s="1443" t="s">
        <v>649</v>
      </c>
      <c r="D526" s="1444"/>
      <c r="E526" s="1444"/>
      <c r="F526" s="1444"/>
      <c r="G526" s="1444"/>
      <c r="H526" s="1444"/>
      <c r="I526" s="1444"/>
      <c r="J526" s="1444"/>
      <c r="K526" s="1444"/>
      <c r="L526" s="1444"/>
      <c r="M526" s="1444"/>
      <c r="N526" s="1444"/>
      <c r="O526" s="1444"/>
      <c r="P526" s="1444"/>
      <c r="Q526" s="1445"/>
      <c r="AB526" s="283"/>
    </row>
    <row r="527" spans="2:29">
      <c r="AB527" s="283"/>
    </row>
    <row r="528" spans="2:29">
      <c r="F528" s="169"/>
      <c r="G528" s="169"/>
      <c r="H528" s="169"/>
      <c r="I528" s="169"/>
      <c r="AB528" s="283"/>
    </row>
    <row r="529" spans="2:29">
      <c r="S529" s="173" t="s">
        <v>1532</v>
      </c>
      <c r="T529" s="474">
        <f t="shared" ref="T529:AC529" si="14">T20 + T113 + T128 + T143 + T158 + T174 + T226 + T332 + T436 + T459 +T477 + T504 + T520</f>
        <v>8584.212605939998</v>
      </c>
      <c r="U529" s="475">
        <f t="shared" si="14"/>
        <v>9168.5262381321154</v>
      </c>
      <c r="V529" s="475">
        <f t="shared" si="14"/>
        <v>9075.9172149179758</v>
      </c>
      <c r="W529" s="475">
        <f t="shared" si="14"/>
        <v>8510.6295706566816</v>
      </c>
      <c r="X529" s="475">
        <f t="shared" si="14"/>
        <v>8499.4231674244602</v>
      </c>
      <c r="Y529" s="475">
        <f t="shared" si="14"/>
        <v>7611.3074029249983</v>
      </c>
      <c r="Z529" s="475">
        <f t="shared" si="14"/>
        <v>7201.0686492588484</v>
      </c>
      <c r="AA529" s="476">
        <f t="shared" si="14"/>
        <v>6703.3017729965113</v>
      </c>
      <c r="AB529" s="477">
        <f t="shared" si="14"/>
        <v>6185.5776681420093</v>
      </c>
      <c r="AC529" s="475">
        <f t="shared" si="14"/>
        <v>5841.4840740235149</v>
      </c>
    </row>
    <row r="530" spans="2:29">
      <c r="AB530" s="283"/>
    </row>
    <row r="531" spans="2:29" ht="16">
      <c r="B531" s="310" t="s">
        <v>1533</v>
      </c>
      <c r="C531" s="310"/>
      <c r="D531" s="146"/>
      <c r="E531" s="146"/>
      <c r="F531" s="146"/>
      <c r="G531" s="146"/>
      <c r="H531" s="146"/>
      <c r="I531" s="146"/>
      <c r="J531" s="146"/>
      <c r="K531" s="146"/>
      <c r="L531" s="146"/>
      <c r="M531" s="146"/>
      <c r="N531" s="146"/>
      <c r="O531" s="146"/>
      <c r="P531" s="146"/>
      <c r="Q531" s="146"/>
      <c r="AB531" s="283"/>
    </row>
    <row r="532" spans="2:29">
      <c r="AB532" s="283"/>
    </row>
    <row r="533" spans="2:29">
      <c r="D533" s="160" t="s">
        <v>1534</v>
      </c>
      <c r="E533" s="160"/>
      <c r="F533" s="162"/>
      <c r="G533" s="162"/>
      <c r="H533" s="162"/>
      <c r="I533" s="162"/>
      <c r="J533" s="162"/>
      <c r="K533" s="162"/>
      <c r="L533" s="162"/>
      <c r="M533" s="162"/>
      <c r="N533" s="162"/>
      <c r="O533" s="162"/>
      <c r="P533" s="162"/>
      <c r="Q533" s="162"/>
      <c r="R533" s="162"/>
      <c r="T533" s="162"/>
      <c r="AB533" s="283"/>
    </row>
    <row r="534" spans="2:29">
      <c r="B534" s="312" t="s">
        <v>910</v>
      </c>
      <c r="C534" s="312"/>
      <c r="D534" s="1457">
        <v>0</v>
      </c>
      <c r="E534" s="1458"/>
      <c r="F534" s="1458"/>
      <c r="G534" s="1458"/>
      <c r="H534" s="1458"/>
      <c r="I534" s="1458"/>
      <c r="J534" s="1458"/>
      <c r="K534" s="1458"/>
      <c r="L534" s="1458"/>
      <c r="M534" s="1458"/>
      <c r="N534" s="1458"/>
      <c r="O534" s="1458"/>
      <c r="P534" s="1458"/>
      <c r="Q534" s="1459"/>
      <c r="R534" s="162"/>
      <c r="T534" s="162"/>
      <c r="AB534" s="283"/>
    </row>
    <row r="535" spans="2:29">
      <c r="B535" s="312" t="s">
        <v>464</v>
      </c>
      <c r="C535" s="312"/>
      <c r="D535" s="1457">
        <v>0</v>
      </c>
      <c r="E535" s="1458"/>
      <c r="F535" s="1458"/>
      <c r="G535" s="1458"/>
      <c r="H535" s="1458"/>
      <c r="I535" s="1458"/>
      <c r="J535" s="1458"/>
      <c r="K535" s="1458"/>
      <c r="L535" s="1458"/>
      <c r="M535" s="1458"/>
      <c r="N535" s="1458"/>
      <c r="O535" s="1458"/>
      <c r="P535" s="1458"/>
      <c r="Q535" s="1459"/>
      <c r="R535" s="162"/>
      <c r="T535" s="162"/>
      <c r="AB535" s="283"/>
    </row>
    <row r="536" spans="2:29">
      <c r="B536" s="312" t="s">
        <v>551</v>
      </c>
      <c r="C536" s="312"/>
      <c r="D536" s="1457">
        <v>0</v>
      </c>
      <c r="E536" s="1458"/>
      <c r="F536" s="1458"/>
      <c r="G536" s="1458"/>
      <c r="H536" s="1458"/>
      <c r="I536" s="1458"/>
      <c r="J536" s="1458"/>
      <c r="K536" s="1458"/>
      <c r="L536" s="1458"/>
      <c r="M536" s="1458"/>
      <c r="N536" s="1458"/>
      <c r="O536" s="1458"/>
      <c r="P536" s="1458"/>
      <c r="Q536" s="1459"/>
      <c r="R536" s="162"/>
      <c r="T536" s="162"/>
      <c r="AB536" s="283"/>
    </row>
    <row r="537" spans="2:29">
      <c r="B537" s="312" t="s">
        <v>562</v>
      </c>
      <c r="C537" s="312"/>
      <c r="D537" s="1457">
        <v>0</v>
      </c>
      <c r="E537" s="1458"/>
      <c r="F537" s="1458"/>
      <c r="G537" s="1458"/>
      <c r="H537" s="1458"/>
      <c r="I537" s="1458"/>
      <c r="J537" s="1458"/>
      <c r="K537" s="1458"/>
      <c r="L537" s="1458"/>
      <c r="M537" s="1458"/>
      <c r="N537" s="1458"/>
      <c r="O537" s="1458"/>
      <c r="P537" s="1458"/>
      <c r="Q537" s="1459"/>
      <c r="R537" s="162"/>
      <c r="T537" s="162"/>
      <c r="AB537" s="283"/>
    </row>
    <row r="538" spans="2:29">
      <c r="B538" s="312" t="s">
        <v>573</v>
      </c>
      <c r="C538" s="312"/>
      <c r="D538" s="1457">
        <v>0</v>
      </c>
      <c r="E538" s="1458"/>
      <c r="F538" s="1458"/>
      <c r="G538" s="1458"/>
      <c r="H538" s="1458"/>
      <c r="I538" s="1458"/>
      <c r="J538" s="1458"/>
      <c r="K538" s="1458"/>
      <c r="L538" s="1458"/>
      <c r="M538" s="1458"/>
      <c r="N538" s="1458"/>
      <c r="O538" s="1458"/>
      <c r="P538" s="1458"/>
      <c r="Q538" s="1459"/>
      <c r="R538" s="162"/>
      <c r="T538" s="162"/>
      <c r="AB538" s="283"/>
    </row>
    <row r="539" spans="2:29">
      <c r="B539" s="312" t="s">
        <v>586</v>
      </c>
      <c r="C539" s="312"/>
      <c r="D539" s="1457">
        <v>0</v>
      </c>
      <c r="E539" s="1458"/>
      <c r="F539" s="1458"/>
      <c r="G539" s="1458"/>
      <c r="H539" s="1458"/>
      <c r="I539" s="1458"/>
      <c r="J539" s="1458"/>
      <c r="K539" s="1458"/>
      <c r="L539" s="1458"/>
      <c r="M539" s="1458"/>
      <c r="N539" s="1458"/>
      <c r="O539" s="1458"/>
      <c r="P539" s="1458"/>
      <c r="Q539" s="1459"/>
      <c r="R539" s="162"/>
      <c r="T539" s="162"/>
      <c r="AB539" s="283"/>
    </row>
    <row r="540" spans="2:29">
      <c r="B540" s="312" t="s">
        <v>597</v>
      </c>
      <c r="C540" s="312"/>
      <c r="D540" s="1457">
        <v>0</v>
      </c>
      <c r="E540" s="1458"/>
      <c r="F540" s="1458"/>
      <c r="G540" s="1458"/>
      <c r="H540" s="1458"/>
      <c r="I540" s="1458"/>
      <c r="J540" s="1458"/>
      <c r="K540" s="1458"/>
      <c r="L540" s="1458"/>
      <c r="M540" s="1458"/>
      <c r="N540" s="1458"/>
      <c r="O540" s="1458"/>
      <c r="P540" s="1458"/>
      <c r="Q540" s="1459"/>
      <c r="R540" s="162"/>
      <c r="T540" s="162"/>
      <c r="AB540" s="283"/>
    </row>
    <row r="541" spans="2:29">
      <c r="B541" s="312" t="s">
        <v>651</v>
      </c>
      <c r="C541" s="312"/>
      <c r="D541" s="1457">
        <v>0</v>
      </c>
      <c r="E541" s="1458"/>
      <c r="F541" s="1458"/>
      <c r="G541" s="1458"/>
      <c r="H541" s="1458"/>
      <c r="I541" s="1458"/>
      <c r="J541" s="1458"/>
      <c r="K541" s="1458"/>
      <c r="L541" s="1458"/>
      <c r="M541" s="1458"/>
      <c r="N541" s="1458"/>
      <c r="O541" s="1458"/>
      <c r="P541" s="1458"/>
      <c r="Q541" s="1459"/>
      <c r="R541" s="162"/>
      <c r="T541" s="162"/>
      <c r="AB541" s="283"/>
    </row>
    <row r="542" spans="2:29">
      <c r="B542" s="312" t="s">
        <v>743</v>
      </c>
      <c r="C542" s="312"/>
      <c r="D542" s="1457">
        <v>0</v>
      </c>
      <c r="E542" s="1458"/>
      <c r="F542" s="1458"/>
      <c r="G542" s="1458"/>
      <c r="H542" s="1458"/>
      <c r="I542" s="1458"/>
      <c r="J542" s="1458"/>
      <c r="K542" s="1458"/>
      <c r="L542" s="1458"/>
      <c r="M542" s="1458"/>
      <c r="N542" s="1458"/>
      <c r="O542" s="1458"/>
      <c r="P542" s="1458"/>
      <c r="Q542" s="1459"/>
      <c r="R542" s="162"/>
      <c r="T542" s="162"/>
      <c r="AB542" s="283"/>
    </row>
    <row r="543" spans="2:29">
      <c r="B543" s="312" t="s">
        <v>751</v>
      </c>
      <c r="C543" s="312"/>
      <c r="D543" s="1457">
        <v>0</v>
      </c>
      <c r="E543" s="1458"/>
      <c r="F543" s="1458"/>
      <c r="G543" s="1458"/>
      <c r="H543" s="1458"/>
      <c r="I543" s="1458"/>
      <c r="J543" s="1458"/>
      <c r="K543" s="1458"/>
      <c r="L543" s="1458"/>
      <c r="M543" s="1458"/>
      <c r="N543" s="1458"/>
      <c r="O543" s="1458"/>
      <c r="P543" s="1458"/>
      <c r="Q543" s="1459"/>
      <c r="R543" s="162"/>
      <c r="T543" s="162"/>
      <c r="AB543" s="283"/>
    </row>
    <row r="544" spans="2:29">
      <c r="B544" s="312" t="s">
        <v>759</v>
      </c>
      <c r="C544" s="312"/>
      <c r="D544" s="1457">
        <v>0</v>
      </c>
      <c r="E544" s="1458"/>
      <c r="F544" s="1458"/>
      <c r="G544" s="1458"/>
      <c r="H544" s="1458"/>
      <c r="I544" s="1458"/>
      <c r="J544" s="1458"/>
      <c r="K544" s="1458"/>
      <c r="L544" s="1458"/>
      <c r="M544" s="1458"/>
      <c r="N544" s="1458"/>
      <c r="O544" s="1458"/>
      <c r="P544" s="1458"/>
      <c r="Q544" s="1459"/>
      <c r="R544" s="162"/>
      <c r="T544" s="162"/>
      <c r="AB544" s="283"/>
    </row>
    <row r="545" spans="2:29">
      <c r="B545" s="312" t="s">
        <v>767</v>
      </c>
      <c r="C545" s="312"/>
      <c r="D545" s="1457">
        <v>0</v>
      </c>
      <c r="E545" s="1458"/>
      <c r="F545" s="1458"/>
      <c r="G545" s="1458"/>
      <c r="H545" s="1458"/>
      <c r="I545" s="1458"/>
      <c r="J545" s="1458"/>
      <c r="K545" s="1458"/>
      <c r="L545" s="1458"/>
      <c r="M545" s="1458"/>
      <c r="N545" s="1458"/>
      <c r="O545" s="1458"/>
      <c r="P545" s="1458"/>
      <c r="Q545" s="1459"/>
      <c r="R545" s="162"/>
      <c r="T545" s="162"/>
      <c r="AB545" s="283"/>
    </row>
    <row r="546" spans="2:29">
      <c r="B546" s="312" t="s">
        <v>786</v>
      </c>
      <c r="C546" s="312"/>
      <c r="D546" s="1457">
        <v>0</v>
      </c>
      <c r="E546" s="1458"/>
      <c r="F546" s="1458"/>
      <c r="G546" s="1458"/>
      <c r="H546" s="1458"/>
      <c r="I546" s="1458"/>
      <c r="J546" s="1458"/>
      <c r="K546" s="1458"/>
      <c r="L546" s="1458"/>
      <c r="M546" s="1458"/>
      <c r="N546" s="1458"/>
      <c r="O546" s="1458"/>
      <c r="P546" s="1458"/>
      <c r="Q546" s="1459"/>
      <c r="R546" s="162"/>
      <c r="T546" s="162"/>
      <c r="AB546" s="283"/>
    </row>
    <row r="547" spans="2:29">
      <c r="AB547" s="283"/>
    </row>
    <row r="548" spans="2:29">
      <c r="D548" s="160" t="s">
        <v>892</v>
      </c>
      <c r="E548" s="160"/>
      <c r="F548"/>
      <c r="G548"/>
      <c r="H548"/>
      <c r="I548"/>
      <c r="J548"/>
      <c r="K548"/>
      <c r="L548"/>
      <c r="M548"/>
      <c r="N548"/>
      <c r="O548"/>
      <c r="P548"/>
      <c r="Q548"/>
      <c r="R548"/>
      <c r="T548" s="196" t="s">
        <v>469</v>
      </c>
      <c r="U548" s="197" t="s">
        <v>469</v>
      </c>
      <c r="V548" s="197" t="s">
        <v>469</v>
      </c>
      <c r="W548" s="197" t="s">
        <v>469</v>
      </c>
      <c r="X548" s="197" t="s">
        <v>469</v>
      </c>
      <c r="Y548" s="197" t="s">
        <v>469</v>
      </c>
      <c r="Z548" s="197" t="s">
        <v>469</v>
      </c>
      <c r="AA548" s="278" t="s">
        <v>469</v>
      </c>
      <c r="AB548" s="296" t="s">
        <v>469</v>
      </c>
      <c r="AC548" s="197" t="s">
        <v>469</v>
      </c>
    </row>
    <row r="549" spans="2:29">
      <c r="D549" s="1452" t="s">
        <v>1532</v>
      </c>
      <c r="E549" s="1452"/>
      <c r="F549" s="1452"/>
      <c r="G549" s="1452"/>
      <c r="H549" s="1452"/>
      <c r="I549" s="1452"/>
      <c r="J549" s="1452"/>
      <c r="K549" s="1452"/>
      <c r="L549" s="1452"/>
      <c r="M549" s="1452"/>
      <c r="N549" s="1452"/>
      <c r="O549" s="1452"/>
      <c r="P549" s="1452"/>
      <c r="Q549" s="1452"/>
      <c r="R549" s="1452"/>
      <c r="T549" s="497">
        <f t="shared" ref="T549:AC549" si="15">T529</f>
        <v>8584.212605939998</v>
      </c>
      <c r="U549" s="498">
        <f t="shared" si="15"/>
        <v>9168.5262381321154</v>
      </c>
      <c r="V549" s="498">
        <f t="shared" si="15"/>
        <v>9075.9172149179758</v>
      </c>
      <c r="W549" s="498">
        <f t="shared" si="15"/>
        <v>8510.6295706566816</v>
      </c>
      <c r="X549" s="498">
        <f t="shared" si="15"/>
        <v>8499.4231674244602</v>
      </c>
      <c r="Y549" s="498">
        <f t="shared" si="15"/>
        <v>7611.3074029249983</v>
      </c>
      <c r="Z549" s="498">
        <f t="shared" si="15"/>
        <v>7201.0686492588484</v>
      </c>
      <c r="AA549" s="499">
        <f t="shared" si="15"/>
        <v>6703.3017729965113</v>
      </c>
      <c r="AB549" s="500">
        <f t="shared" si="15"/>
        <v>6185.5776681420093</v>
      </c>
      <c r="AC549" s="498">
        <f t="shared" si="15"/>
        <v>5841.4840740235149</v>
      </c>
    </row>
    <row r="550" spans="2:29">
      <c r="D550" s="1452" t="s">
        <v>1535</v>
      </c>
      <c r="E550" s="1452"/>
      <c r="F550" s="1452"/>
      <c r="G550" s="1452"/>
      <c r="H550" s="1452"/>
      <c r="I550" s="1452"/>
      <c r="J550" s="1452"/>
      <c r="K550" s="1452"/>
      <c r="L550" s="1452"/>
      <c r="M550" s="1452"/>
      <c r="N550" s="1452"/>
      <c r="O550" s="1452"/>
      <c r="P550" s="1452"/>
      <c r="Q550" s="1452"/>
      <c r="R550" s="1452"/>
      <c r="T550" s="491">
        <v>0</v>
      </c>
      <c r="U550" s="491">
        <v>0</v>
      </c>
      <c r="V550" s="491">
        <v>0</v>
      </c>
      <c r="W550" s="491">
        <v>0</v>
      </c>
      <c r="X550" s="491">
        <v>0</v>
      </c>
      <c r="Y550" s="491">
        <v>0</v>
      </c>
      <c r="Z550" s="491">
        <v>0</v>
      </c>
      <c r="AA550" s="491">
        <v>0</v>
      </c>
      <c r="AB550" s="491">
        <v>0</v>
      </c>
      <c r="AC550" s="491">
        <v>0</v>
      </c>
    </row>
    <row r="551" spans="2:29" ht="12.75" customHeight="1">
      <c r="D551" s="1452" t="s">
        <v>1536</v>
      </c>
      <c r="E551" s="1452"/>
      <c r="F551" s="1452"/>
      <c r="G551" s="1452"/>
      <c r="H551" s="1452"/>
      <c r="I551" s="1452"/>
      <c r="J551" s="1452"/>
      <c r="K551" s="1452"/>
      <c r="L551" s="1452"/>
      <c r="M551" s="1452"/>
      <c r="N551" s="1452"/>
      <c r="O551" s="1452"/>
      <c r="P551" s="1452"/>
      <c r="Q551" s="1452"/>
      <c r="R551" s="1452"/>
      <c r="T551" s="491">
        <v>0</v>
      </c>
      <c r="U551" s="491">
        <v>0</v>
      </c>
      <c r="V551" s="491">
        <v>0</v>
      </c>
      <c r="W551" s="491">
        <v>0</v>
      </c>
      <c r="X551" s="491">
        <v>0</v>
      </c>
      <c r="Y551" s="491">
        <v>0</v>
      </c>
      <c r="Z551" s="491">
        <v>0</v>
      </c>
      <c r="AA551" s="491">
        <v>0</v>
      </c>
      <c r="AB551" s="491">
        <v>0</v>
      </c>
      <c r="AC551" s="491">
        <v>0</v>
      </c>
    </row>
    <row r="552" spans="2:29" ht="12.75" customHeight="1">
      <c r="D552" s="1452" t="s">
        <v>1537</v>
      </c>
      <c r="E552" s="1452"/>
      <c r="F552" s="1452"/>
      <c r="G552" s="1452"/>
      <c r="H552" s="1452"/>
      <c r="I552" s="1452"/>
      <c r="J552" s="1452"/>
      <c r="K552" s="1452"/>
      <c r="L552" s="1452"/>
      <c r="M552" s="1452"/>
      <c r="N552" s="1452"/>
      <c r="O552" s="1452"/>
      <c r="P552" s="1452"/>
      <c r="Q552" s="1452"/>
      <c r="R552" s="1452"/>
      <c r="T552" s="491">
        <v>0</v>
      </c>
      <c r="U552" s="491">
        <v>0</v>
      </c>
      <c r="V552" s="491">
        <v>0</v>
      </c>
      <c r="W552" s="491">
        <v>0</v>
      </c>
      <c r="X552" s="491">
        <v>0</v>
      </c>
      <c r="Y552" s="491">
        <v>0</v>
      </c>
      <c r="Z552" s="491">
        <v>0</v>
      </c>
      <c r="AA552" s="491">
        <v>0</v>
      </c>
      <c r="AB552" s="491">
        <v>0</v>
      </c>
      <c r="AC552" s="491">
        <v>0</v>
      </c>
    </row>
    <row r="553" spans="2:29" ht="12.75" customHeight="1">
      <c r="D553" s="1395" t="s">
        <v>1538</v>
      </c>
      <c r="E553" s="1395"/>
      <c r="F553" s="1395"/>
      <c r="G553" s="1395"/>
      <c r="H553" s="1395"/>
      <c r="I553" s="1395"/>
      <c r="J553" s="1395"/>
      <c r="K553" s="1395"/>
      <c r="L553" s="1395"/>
      <c r="M553" s="1395"/>
      <c r="N553" s="1395"/>
      <c r="O553" s="1395"/>
      <c r="P553" s="1395"/>
      <c r="Q553" s="1395"/>
      <c r="R553" s="1395"/>
      <c r="T553" s="491">
        <v>0</v>
      </c>
      <c r="U553" s="491">
        <v>0</v>
      </c>
      <c r="V553" s="491">
        <v>0</v>
      </c>
      <c r="W553" s="491">
        <v>0</v>
      </c>
      <c r="X553" s="491">
        <v>0</v>
      </c>
      <c r="Y553" s="491">
        <v>0</v>
      </c>
      <c r="Z553" s="491">
        <v>0</v>
      </c>
      <c r="AA553" s="491">
        <v>0</v>
      </c>
      <c r="AB553" s="491">
        <v>0</v>
      </c>
      <c r="AC553" s="491">
        <v>0</v>
      </c>
    </row>
    <row r="554" spans="2:29" ht="12.75" customHeight="1">
      <c r="D554" s="1454" t="s">
        <v>1539</v>
      </c>
      <c r="E554" s="1455"/>
      <c r="F554" s="1455"/>
      <c r="G554" s="1455"/>
      <c r="H554" s="1455"/>
      <c r="I554" s="1455"/>
      <c r="J554" s="1455"/>
      <c r="K554" s="1455"/>
      <c r="L554" s="1455"/>
      <c r="M554" s="1455"/>
      <c r="N554" s="1455"/>
      <c r="O554" s="1455"/>
      <c r="P554" s="1455"/>
      <c r="Q554" s="1455"/>
      <c r="R554" s="1456"/>
      <c r="T554" s="491">
        <v>78.144000000000005</v>
      </c>
      <c r="U554" s="491">
        <v>78.144000000000005</v>
      </c>
      <c r="V554" s="491">
        <v>78.144000000000005</v>
      </c>
      <c r="W554" s="491">
        <v>78.144000000000005</v>
      </c>
      <c r="X554" s="491">
        <v>78.144000000000005</v>
      </c>
      <c r="Y554" s="491">
        <v>78.144000000000005</v>
      </c>
      <c r="Z554" s="491">
        <v>78.144000000000005</v>
      </c>
      <c r="AA554" s="491">
        <v>78.144000000000005</v>
      </c>
      <c r="AB554" s="491">
        <v>78.144000000000005</v>
      </c>
      <c r="AC554" s="491">
        <v>78.144000000000005</v>
      </c>
    </row>
    <row r="555" spans="2:29" ht="12.75" customHeight="1">
      <c r="D555" s="1454" t="s">
        <v>1540</v>
      </c>
      <c r="E555" s="1455"/>
      <c r="F555" s="1455"/>
      <c r="G555" s="1455"/>
      <c r="H555" s="1455"/>
      <c r="I555" s="1455"/>
      <c r="J555" s="1455"/>
      <c r="K555" s="1455"/>
      <c r="L555" s="1455"/>
      <c r="M555" s="1455"/>
      <c r="N555" s="1455"/>
      <c r="O555" s="1455"/>
      <c r="P555" s="1455"/>
      <c r="Q555" s="1455"/>
      <c r="R555" s="1456"/>
      <c r="T555" s="491">
        <v>-69.541119960000003</v>
      </c>
      <c r="U555" s="491">
        <v>-69.541119960000003</v>
      </c>
      <c r="V555" s="491">
        <v>-69.541119960000003</v>
      </c>
      <c r="W555" s="491">
        <v>-69.541119960000003</v>
      </c>
      <c r="X555" s="491">
        <v>-69.541119960000003</v>
      </c>
      <c r="Y555" s="491">
        <v>-69.541119960000003</v>
      </c>
      <c r="Z555" s="491">
        <v>-69.541119960000003</v>
      </c>
      <c r="AA555" s="491">
        <v>-69.541119960000003</v>
      </c>
      <c r="AB555" s="491">
        <v>-69.541119960000003</v>
      </c>
      <c r="AC555" s="491">
        <v>-69.541119960000003</v>
      </c>
    </row>
    <row r="556" spans="2:29" ht="12.75" customHeight="1">
      <c r="D556" s="1454" t="s">
        <v>1541</v>
      </c>
      <c r="E556" s="1455"/>
      <c r="F556" s="1455"/>
      <c r="G556" s="1455"/>
      <c r="H556" s="1455"/>
      <c r="I556" s="1455"/>
      <c r="J556" s="1455"/>
      <c r="K556" s="1455"/>
      <c r="L556" s="1455"/>
      <c r="M556" s="1455"/>
      <c r="N556" s="1455"/>
      <c r="O556" s="1455"/>
      <c r="P556" s="1455"/>
      <c r="Q556" s="1455"/>
      <c r="R556" s="1456"/>
      <c r="T556" s="491">
        <v>-196.99999999999997</v>
      </c>
      <c r="U556" s="491">
        <v>-227.08917062927614</v>
      </c>
      <c r="V556" s="491">
        <v>-234.53933932698052</v>
      </c>
      <c r="W556" s="491">
        <v>-236.94483689020052</v>
      </c>
      <c r="X556" s="491">
        <v>-240.78077919454228</v>
      </c>
      <c r="Y556" s="491">
        <v>-248.0741933812786</v>
      </c>
      <c r="Z556" s="491">
        <v>-255.98721515251688</v>
      </c>
      <c r="AA556" s="491">
        <v>-263.10924661719241</v>
      </c>
      <c r="AB556" s="491">
        <v>-270.58623316530822</v>
      </c>
      <c r="AC556" s="491">
        <v>-277.00668375776741</v>
      </c>
    </row>
    <row r="557" spans="2:29" ht="12.75" customHeight="1">
      <c r="D557" s="1454" t="s">
        <v>1542</v>
      </c>
      <c r="E557" s="1455"/>
      <c r="F557" s="1455"/>
      <c r="G557" s="1455"/>
      <c r="H557" s="1455"/>
      <c r="I557" s="1455"/>
      <c r="J557" s="1455"/>
      <c r="K557" s="1455"/>
      <c r="L557" s="1455"/>
      <c r="M557" s="1455"/>
      <c r="N557" s="1455"/>
      <c r="O557" s="1455"/>
      <c r="P557" s="1455"/>
      <c r="Q557" s="1455"/>
      <c r="R557" s="1456"/>
      <c r="T557" s="491">
        <v>0</v>
      </c>
      <c r="U557" s="491">
        <v>0</v>
      </c>
      <c r="V557" s="491">
        <v>0</v>
      </c>
      <c r="W557" s="491">
        <v>0</v>
      </c>
      <c r="X557" s="491">
        <v>0</v>
      </c>
      <c r="Y557" s="491">
        <v>0</v>
      </c>
      <c r="Z557" s="491">
        <v>0</v>
      </c>
      <c r="AA557" s="491">
        <v>0</v>
      </c>
      <c r="AB557" s="491">
        <v>0</v>
      </c>
      <c r="AC557" s="491">
        <v>0</v>
      </c>
    </row>
    <row r="558" spans="2:29" ht="12.75" customHeight="1">
      <c r="D558" s="1454" t="s">
        <v>1543</v>
      </c>
      <c r="E558" s="1455"/>
      <c r="F558" s="1455"/>
      <c r="G558" s="1455"/>
      <c r="H558" s="1455"/>
      <c r="I558" s="1455"/>
      <c r="J558" s="1455"/>
      <c r="K558" s="1455"/>
      <c r="L558" s="1455"/>
      <c r="M558" s="1455"/>
      <c r="N558" s="1455"/>
      <c r="O558" s="1455"/>
      <c r="P558" s="1455"/>
      <c r="Q558" s="1455"/>
      <c r="R558" s="1456"/>
      <c r="T558" s="491">
        <v>-65</v>
      </c>
      <c r="U558" s="491">
        <v>-65</v>
      </c>
      <c r="V558" s="491">
        <v>-65</v>
      </c>
      <c r="W558" s="491">
        <v>-65</v>
      </c>
      <c r="X558" s="491">
        <v>-65</v>
      </c>
      <c r="Y558" s="491">
        <v>-65</v>
      </c>
      <c r="Z558" s="491">
        <v>-65</v>
      </c>
      <c r="AA558" s="491">
        <v>-65</v>
      </c>
      <c r="AB558" s="491">
        <v>-65</v>
      </c>
      <c r="AC558" s="491">
        <v>-65</v>
      </c>
    </row>
    <row r="559" spans="2:29" ht="12.75" customHeight="1">
      <c r="D559" s="1454" t="s">
        <v>1544</v>
      </c>
      <c r="E559" s="1455"/>
      <c r="F559" s="1455"/>
      <c r="G559" s="1455"/>
      <c r="H559" s="1455"/>
      <c r="I559" s="1455"/>
      <c r="J559" s="1455"/>
      <c r="K559" s="1455"/>
      <c r="L559" s="1455"/>
      <c r="M559" s="1455"/>
      <c r="N559" s="1455"/>
      <c r="O559" s="1455"/>
      <c r="P559" s="1455"/>
      <c r="Q559" s="1455"/>
      <c r="R559" s="1456"/>
      <c r="T559" s="491">
        <v>0</v>
      </c>
      <c r="U559" s="491">
        <v>0</v>
      </c>
      <c r="V559" s="491">
        <v>0</v>
      </c>
      <c r="W559" s="491">
        <v>0</v>
      </c>
      <c r="X559" s="491">
        <v>0</v>
      </c>
      <c r="Y559" s="491">
        <v>0</v>
      </c>
      <c r="Z559" s="491">
        <v>0</v>
      </c>
      <c r="AA559" s="491">
        <v>0</v>
      </c>
      <c r="AB559" s="491">
        <v>0</v>
      </c>
      <c r="AC559" s="491">
        <v>0</v>
      </c>
    </row>
    <row r="560" spans="2:29" ht="12.75" customHeight="1">
      <c r="D560" s="1454" t="s">
        <v>1545</v>
      </c>
      <c r="E560" s="1455"/>
      <c r="F560" s="1455"/>
      <c r="G560" s="1455"/>
      <c r="H560" s="1455"/>
      <c r="I560" s="1455"/>
      <c r="J560" s="1455"/>
      <c r="K560" s="1455"/>
      <c r="L560" s="1455"/>
      <c r="M560" s="1455"/>
      <c r="N560" s="1455"/>
      <c r="O560" s="1455"/>
      <c r="P560" s="1455"/>
      <c r="Q560" s="1455"/>
      <c r="R560" s="1456"/>
      <c r="T560" s="491">
        <v>0</v>
      </c>
      <c r="U560" s="491">
        <v>0</v>
      </c>
      <c r="V560" s="491">
        <v>0</v>
      </c>
      <c r="W560" s="491">
        <v>0</v>
      </c>
      <c r="X560" s="491">
        <v>0</v>
      </c>
      <c r="Y560" s="491">
        <v>0</v>
      </c>
      <c r="Z560" s="491">
        <v>0</v>
      </c>
      <c r="AA560" s="491">
        <v>0</v>
      </c>
      <c r="AB560" s="491">
        <v>0</v>
      </c>
      <c r="AC560" s="491">
        <v>0</v>
      </c>
    </row>
    <row r="561" spans="2:29" ht="12.75" customHeight="1">
      <c r="D561" s="1454" t="s">
        <v>1546</v>
      </c>
      <c r="E561" s="1455"/>
      <c r="F561" s="1455"/>
      <c r="G561" s="1455"/>
      <c r="H561" s="1455"/>
      <c r="I561" s="1455"/>
      <c r="J561" s="1455"/>
      <c r="K561" s="1455"/>
      <c r="L561" s="1455"/>
      <c r="M561" s="1455"/>
      <c r="N561" s="1455"/>
      <c r="O561" s="1455"/>
      <c r="P561" s="1455"/>
      <c r="Q561" s="1455"/>
      <c r="R561" s="1456"/>
      <c r="T561" s="491">
        <v>0</v>
      </c>
      <c r="U561" s="491">
        <v>0</v>
      </c>
      <c r="V561" s="491">
        <v>0</v>
      </c>
      <c r="W561" s="491">
        <v>0</v>
      </c>
      <c r="X561" s="491">
        <v>0</v>
      </c>
      <c r="Y561" s="491">
        <v>0</v>
      </c>
      <c r="Z561" s="491">
        <v>0</v>
      </c>
      <c r="AA561" s="491">
        <v>0</v>
      </c>
      <c r="AB561" s="491">
        <v>0</v>
      </c>
      <c r="AC561" s="491">
        <v>0</v>
      </c>
    </row>
    <row r="562" spans="2:29" ht="12.75" customHeight="1">
      <c r="D562" s="1454" t="s">
        <v>1547</v>
      </c>
      <c r="E562" s="1455"/>
      <c r="F562" s="1455"/>
      <c r="G562" s="1455"/>
      <c r="H562" s="1455"/>
      <c r="I562" s="1455"/>
      <c r="J562" s="1455"/>
      <c r="K562" s="1455"/>
      <c r="L562" s="1455"/>
      <c r="M562" s="1455"/>
      <c r="N562" s="1455"/>
      <c r="O562" s="1455"/>
      <c r="P562" s="1455"/>
      <c r="Q562" s="1455"/>
      <c r="R562" s="1456"/>
      <c r="T562" s="491">
        <v>0</v>
      </c>
      <c r="U562" s="491">
        <v>0</v>
      </c>
      <c r="V562" s="491">
        <v>0</v>
      </c>
      <c r="W562" s="491">
        <v>0</v>
      </c>
      <c r="X562" s="491">
        <v>0</v>
      </c>
      <c r="Y562" s="491">
        <v>0</v>
      </c>
      <c r="Z562" s="491">
        <v>0</v>
      </c>
      <c r="AA562" s="491">
        <v>0</v>
      </c>
      <c r="AB562" s="491">
        <v>0</v>
      </c>
      <c r="AC562" s="491">
        <v>0</v>
      </c>
    </row>
    <row r="563" spans="2:29" ht="12.75" customHeight="1">
      <c r="D563" s="1454" t="s">
        <v>1548</v>
      </c>
      <c r="E563" s="1455"/>
      <c r="F563" s="1455"/>
      <c r="G563" s="1455"/>
      <c r="H563" s="1455"/>
      <c r="I563" s="1455"/>
      <c r="J563" s="1455"/>
      <c r="K563" s="1455"/>
      <c r="L563" s="1455"/>
      <c r="M563" s="1455"/>
      <c r="N563" s="1455"/>
      <c r="O563" s="1455"/>
      <c r="P563" s="1455"/>
      <c r="Q563" s="1455"/>
      <c r="R563" s="1456"/>
      <c r="T563" s="491">
        <v>0</v>
      </c>
      <c r="U563" s="491">
        <v>0</v>
      </c>
      <c r="V563" s="491">
        <v>0</v>
      </c>
      <c r="W563" s="491">
        <v>0</v>
      </c>
      <c r="X563" s="491">
        <v>0</v>
      </c>
      <c r="Y563" s="491">
        <v>0</v>
      </c>
      <c r="Z563" s="491">
        <v>0</v>
      </c>
      <c r="AA563" s="491">
        <v>0</v>
      </c>
      <c r="AB563" s="491">
        <v>0</v>
      </c>
      <c r="AC563" s="491">
        <v>0</v>
      </c>
    </row>
    <row r="564" spans="2:29" ht="12.75" customHeight="1">
      <c r="D564" s="1454" t="s">
        <v>1549</v>
      </c>
      <c r="E564" s="1455"/>
      <c r="F564" s="1455"/>
      <c r="G564" s="1455"/>
      <c r="H564" s="1455"/>
      <c r="I564" s="1455"/>
      <c r="J564" s="1455"/>
      <c r="K564" s="1455"/>
      <c r="L564" s="1455"/>
      <c r="M564" s="1455"/>
      <c r="N564" s="1455"/>
      <c r="O564" s="1455"/>
      <c r="P564" s="1455"/>
      <c r="Q564" s="1455"/>
      <c r="R564" s="1456"/>
      <c r="T564" s="491">
        <v>0</v>
      </c>
      <c r="U564" s="491">
        <v>0</v>
      </c>
      <c r="V564" s="491">
        <v>0</v>
      </c>
      <c r="W564" s="491">
        <v>0</v>
      </c>
      <c r="X564" s="491">
        <v>0</v>
      </c>
      <c r="Y564" s="491">
        <v>0</v>
      </c>
      <c r="Z564" s="491">
        <v>0</v>
      </c>
      <c r="AA564" s="491">
        <v>0</v>
      </c>
      <c r="AB564" s="491">
        <v>0</v>
      </c>
      <c r="AC564" s="491">
        <v>0</v>
      </c>
    </row>
    <row r="565" spans="2:29" ht="12.75" customHeight="1">
      <c r="D565" s="1454" t="s">
        <v>1550</v>
      </c>
      <c r="E565" s="1455"/>
      <c r="F565" s="1455"/>
      <c r="G565" s="1455"/>
      <c r="H565" s="1455"/>
      <c r="I565" s="1455"/>
      <c r="J565" s="1455"/>
      <c r="K565" s="1455"/>
      <c r="L565" s="1455"/>
      <c r="M565" s="1455"/>
      <c r="N565" s="1455"/>
      <c r="O565" s="1455"/>
      <c r="P565" s="1455"/>
      <c r="Q565" s="1455"/>
      <c r="R565" s="1456"/>
      <c r="T565" s="491">
        <v>0</v>
      </c>
      <c r="U565" s="491">
        <v>0</v>
      </c>
      <c r="V565" s="491">
        <v>0</v>
      </c>
      <c r="W565" s="491">
        <v>0</v>
      </c>
      <c r="X565" s="491">
        <v>0</v>
      </c>
      <c r="Y565" s="491">
        <v>0</v>
      </c>
      <c r="Z565" s="491">
        <v>0</v>
      </c>
      <c r="AA565" s="491">
        <v>0</v>
      </c>
      <c r="AB565" s="491">
        <v>0</v>
      </c>
      <c r="AC565" s="491">
        <v>0</v>
      </c>
    </row>
    <row r="566" spans="2:29">
      <c r="D566" s="1453" t="s">
        <v>1551</v>
      </c>
      <c r="E566" s="1453"/>
      <c r="F566" s="1453"/>
      <c r="G566" s="1453"/>
      <c r="H566" s="1453"/>
      <c r="I566" s="1453"/>
      <c r="J566" s="1453"/>
      <c r="K566" s="1453"/>
      <c r="L566" s="1453"/>
      <c r="M566" s="1453"/>
      <c r="N566" s="1453"/>
      <c r="O566" s="1453"/>
      <c r="P566" s="1453"/>
      <c r="Q566" s="1453"/>
      <c r="R566" s="1453"/>
      <c r="T566" s="474">
        <f t="shared" ref="T566:AC566" si="16">SUM(T549:T565)</f>
        <v>8330.8154859799979</v>
      </c>
      <c r="U566" s="475">
        <f t="shared" si="16"/>
        <v>8885.0399475428385</v>
      </c>
      <c r="V566" s="475">
        <f t="shared" si="16"/>
        <v>8784.9807556309952</v>
      </c>
      <c r="W566" s="475">
        <f t="shared" si="16"/>
        <v>8217.2876138064803</v>
      </c>
      <c r="X566" s="475">
        <f t="shared" si="16"/>
        <v>8202.2452682699186</v>
      </c>
      <c r="Y566" s="475">
        <f t="shared" si="16"/>
        <v>7306.8360895837195</v>
      </c>
      <c r="Z566" s="475">
        <f>SUM(Z549:Z565)</f>
        <v>6888.6843141463314</v>
      </c>
      <c r="AA566" s="476">
        <f t="shared" si="16"/>
        <v>6383.7954064193191</v>
      </c>
      <c r="AB566" s="477">
        <f t="shared" si="16"/>
        <v>5858.5943150167013</v>
      </c>
      <c r="AC566" s="475">
        <f t="shared" si="16"/>
        <v>5508.080270305747</v>
      </c>
    </row>
    <row r="567" spans="2:29">
      <c r="AB567" s="283"/>
    </row>
    <row r="568" spans="2:29">
      <c r="D568" s="150" t="s">
        <v>898</v>
      </c>
      <c r="E568" s="150"/>
      <c r="AB568" s="283"/>
    </row>
    <row r="569" spans="2:29">
      <c r="D569" s="151" t="s">
        <v>899</v>
      </c>
      <c r="T569" s="395">
        <v>0</v>
      </c>
      <c r="U569" s="395">
        <v>0</v>
      </c>
      <c r="V569" s="395">
        <v>0</v>
      </c>
      <c r="W569" s="395">
        <v>0</v>
      </c>
      <c r="X569" s="395">
        <v>0</v>
      </c>
      <c r="Y569" s="395">
        <v>0</v>
      </c>
      <c r="Z569" s="395">
        <v>0</v>
      </c>
      <c r="AA569" s="395">
        <v>0</v>
      </c>
      <c r="AB569" s="395">
        <v>0</v>
      </c>
      <c r="AC569" s="395">
        <v>0</v>
      </c>
    </row>
    <row r="570" spans="2:29">
      <c r="D570" s="151" t="s">
        <v>832</v>
      </c>
      <c r="T570" s="198">
        <f>1-T569</f>
        <v>1</v>
      </c>
      <c r="U570" s="199">
        <f t="shared" ref="U570:AC570" si="17">1-U569</f>
        <v>1</v>
      </c>
      <c r="V570" s="199">
        <f t="shared" si="17"/>
        <v>1</v>
      </c>
      <c r="W570" s="199">
        <f t="shared" si="17"/>
        <v>1</v>
      </c>
      <c r="X570" s="199">
        <f t="shared" si="17"/>
        <v>1</v>
      </c>
      <c r="Y570" s="199">
        <f t="shared" si="17"/>
        <v>1</v>
      </c>
      <c r="Z570" s="199">
        <f t="shared" si="17"/>
        <v>1</v>
      </c>
      <c r="AA570" s="279">
        <f t="shared" si="17"/>
        <v>1</v>
      </c>
      <c r="AB570" s="298">
        <f t="shared" si="17"/>
        <v>1</v>
      </c>
      <c r="AC570" s="199">
        <f t="shared" si="17"/>
        <v>1</v>
      </c>
    </row>
    <row r="571" spans="2:29">
      <c r="AB571" s="283"/>
    </row>
    <row r="572" spans="2:29">
      <c r="AB572" s="283"/>
    </row>
    <row r="573" spans="2:29" ht="16">
      <c r="B573" s="310" t="s">
        <v>1552</v>
      </c>
      <c r="C573" s="310"/>
      <c r="D573" s="146"/>
      <c r="E573" s="146"/>
      <c r="F573" s="146"/>
      <c r="G573" s="146"/>
      <c r="H573" s="146"/>
      <c r="I573" s="146"/>
      <c r="J573" s="146"/>
      <c r="K573" s="146"/>
      <c r="L573" s="146"/>
      <c r="M573" s="146"/>
      <c r="N573" s="146"/>
      <c r="O573" s="146"/>
      <c r="P573" s="146"/>
      <c r="Q573" s="146"/>
      <c r="AB573" s="283"/>
    </row>
    <row r="574" spans="2:29">
      <c r="AB574" s="283"/>
    </row>
    <row r="575" spans="2:29">
      <c r="D575" s="160" t="s">
        <v>1553</v>
      </c>
      <c r="E575" s="160"/>
      <c r="F575"/>
      <c r="G575"/>
      <c r="H575"/>
      <c r="I575"/>
      <c r="J575"/>
      <c r="K575"/>
      <c r="L575"/>
      <c r="M575"/>
      <c r="N575"/>
      <c r="O575"/>
      <c r="P575"/>
      <c r="Q575"/>
      <c r="R575"/>
      <c r="T575" s="196" t="s">
        <v>225</v>
      </c>
      <c r="U575" s="197" t="s">
        <v>225</v>
      </c>
      <c r="V575" s="197" t="s">
        <v>225</v>
      </c>
      <c r="W575" s="197" t="s">
        <v>225</v>
      </c>
      <c r="X575" s="197" t="s">
        <v>225</v>
      </c>
      <c r="Y575" s="197" t="s">
        <v>225</v>
      </c>
      <c r="Z575" s="197" t="s">
        <v>225</v>
      </c>
      <c r="AA575" s="278" t="s">
        <v>225</v>
      </c>
      <c r="AB575" s="296" t="s">
        <v>225</v>
      </c>
      <c r="AC575" s="197" t="s">
        <v>225</v>
      </c>
    </row>
    <row r="576" spans="2:29">
      <c r="D576" s="1452" t="s">
        <v>1554</v>
      </c>
      <c r="E576" s="1452"/>
      <c r="F576" s="1452"/>
      <c r="G576" s="1452"/>
      <c r="H576" s="1452"/>
      <c r="I576" s="1452"/>
      <c r="J576" s="1452"/>
      <c r="K576" s="1452"/>
      <c r="L576" s="1452"/>
      <c r="M576" s="1452"/>
      <c r="N576" s="1452"/>
      <c r="O576" s="1452"/>
      <c r="P576" s="1452"/>
      <c r="Q576" s="1452"/>
      <c r="R576" s="1452"/>
      <c r="T576" s="358">
        <v>0.72081094284318514</v>
      </c>
      <c r="U576" s="358">
        <v>0.72081094284318514</v>
      </c>
      <c r="V576" s="358">
        <v>0.72081094284318514</v>
      </c>
      <c r="W576" s="358">
        <v>0.72081094284318514</v>
      </c>
      <c r="X576" s="358">
        <v>0.72081094284318514</v>
      </c>
      <c r="Y576" s="358">
        <v>0.72081094284318514</v>
      </c>
      <c r="Z576" s="358">
        <v>0.72081094284318514</v>
      </c>
      <c r="AA576" s="358">
        <v>0.72081094284318514</v>
      </c>
      <c r="AB576" s="358">
        <v>0.72081094284318514</v>
      </c>
      <c r="AC576" s="358">
        <v>0.72081094284318514</v>
      </c>
    </row>
    <row r="577" spans="4:29">
      <c r="D577" s="1452" t="s">
        <v>1555</v>
      </c>
      <c r="E577" s="1452"/>
      <c r="F577" s="1452"/>
      <c r="G577" s="1452"/>
      <c r="H577" s="1452"/>
      <c r="I577" s="1452"/>
      <c r="J577" s="1452"/>
      <c r="K577" s="1452"/>
      <c r="L577" s="1452"/>
      <c r="M577" s="1452"/>
      <c r="N577" s="1452"/>
      <c r="O577" s="1452"/>
      <c r="P577" s="1452"/>
      <c r="Q577" s="1452"/>
      <c r="R577" s="1452"/>
      <c r="T577" s="358">
        <v>-7.9018075232046903E-2</v>
      </c>
      <c r="U577" s="358">
        <v>-7.9018075232046903E-2</v>
      </c>
      <c r="V577" s="358">
        <v>-7.9018075232046903E-2</v>
      </c>
      <c r="W577" s="358">
        <v>-7.9018075232046903E-2</v>
      </c>
      <c r="X577" s="358">
        <v>-7.9018075232046903E-2</v>
      </c>
      <c r="Y577" s="358">
        <v>-7.9018075232046903E-2</v>
      </c>
      <c r="Z577" s="358">
        <v>-7.9018075232046903E-2</v>
      </c>
      <c r="AA577" s="358">
        <v>-7.9018075232046903E-2</v>
      </c>
      <c r="AB577" s="358">
        <v>-7.9018075232046903E-2</v>
      </c>
      <c r="AC577" s="358">
        <v>-7.9018075232046903E-2</v>
      </c>
    </row>
    <row r="578" spans="4:29">
      <c r="D578" s="1452" t="s">
        <v>1556</v>
      </c>
      <c r="E578" s="1452"/>
      <c r="F578" s="1452"/>
      <c r="G578" s="1452"/>
      <c r="H578" s="1452"/>
      <c r="I578" s="1452"/>
      <c r="J578" s="1452"/>
      <c r="K578" s="1452"/>
      <c r="L578" s="1452"/>
      <c r="M578" s="1452"/>
      <c r="N578" s="1452"/>
      <c r="O578" s="1452"/>
      <c r="P578" s="1452"/>
      <c r="Q578" s="1452"/>
      <c r="R578" s="1452"/>
      <c r="T578" s="358">
        <v>0.35820713238886176</v>
      </c>
      <c r="U578" s="358">
        <v>0.35820713238886176</v>
      </c>
      <c r="V578" s="358">
        <v>0.35820713238886176</v>
      </c>
      <c r="W578" s="358">
        <v>0.35820713238886176</v>
      </c>
      <c r="X578" s="358">
        <v>0.35820713238886176</v>
      </c>
      <c r="Y578" s="358">
        <v>0.35820713238886176</v>
      </c>
      <c r="Z578" s="358">
        <v>0.35820713238886176</v>
      </c>
      <c r="AA578" s="358">
        <v>0.35820713238886176</v>
      </c>
      <c r="AB578" s="358">
        <v>0.35820713238886176</v>
      </c>
      <c r="AC578" s="358">
        <v>0.35820713238886176</v>
      </c>
    </row>
    <row r="579" spans="4:29">
      <c r="D579" s="1452" t="s">
        <v>1557</v>
      </c>
      <c r="E579" s="1452"/>
      <c r="F579" s="1452"/>
      <c r="G579" s="1452"/>
      <c r="H579" s="1452"/>
      <c r="I579" s="1452"/>
      <c r="J579" s="1452"/>
      <c r="K579" s="1452"/>
      <c r="L579" s="1452"/>
      <c r="M579" s="1452"/>
      <c r="N579" s="1452"/>
      <c r="O579" s="1452"/>
      <c r="P579" s="1452"/>
      <c r="Q579" s="1452"/>
      <c r="R579" s="1452"/>
      <c r="T579" s="358">
        <v>0</v>
      </c>
      <c r="U579" s="358">
        <v>0</v>
      </c>
      <c r="V579" s="358">
        <v>0</v>
      </c>
      <c r="W579" s="358">
        <v>0</v>
      </c>
      <c r="X579" s="358">
        <v>0</v>
      </c>
      <c r="Y579" s="358">
        <v>0</v>
      </c>
      <c r="Z579" s="358">
        <v>0</v>
      </c>
      <c r="AA579" s="358">
        <v>0</v>
      </c>
      <c r="AB579" s="358">
        <v>0</v>
      </c>
      <c r="AC579" s="358">
        <v>0</v>
      </c>
    </row>
    <row r="580" spans="4:29">
      <c r="D580" s="1453" t="s">
        <v>355</v>
      </c>
      <c r="E580" s="1453"/>
      <c r="F580" s="1453"/>
      <c r="G580" s="1453"/>
      <c r="H580" s="1453"/>
      <c r="I580" s="1453"/>
      <c r="J580" s="1453"/>
      <c r="K580" s="1453"/>
      <c r="L580" s="1453"/>
      <c r="M580" s="1453"/>
      <c r="N580" s="1453"/>
      <c r="O580" s="1453"/>
      <c r="P580" s="1453"/>
      <c r="Q580" s="1453"/>
      <c r="R580" s="1453"/>
      <c r="T580" s="198">
        <f t="shared" ref="T580:AC580" si="18">SUM(T576:T579)</f>
        <v>1</v>
      </c>
      <c r="U580" s="199">
        <f t="shared" si="18"/>
        <v>1</v>
      </c>
      <c r="V580" s="199">
        <f t="shared" si="18"/>
        <v>1</v>
      </c>
      <c r="W580" s="199">
        <f t="shared" si="18"/>
        <v>1</v>
      </c>
      <c r="X580" s="199">
        <f t="shared" si="18"/>
        <v>1</v>
      </c>
      <c r="Y580" s="199">
        <f t="shared" si="18"/>
        <v>1</v>
      </c>
      <c r="Z580" s="199">
        <f t="shared" si="18"/>
        <v>1</v>
      </c>
      <c r="AA580" s="279">
        <f t="shared" si="18"/>
        <v>1</v>
      </c>
      <c r="AB580" s="298">
        <f t="shared" si="18"/>
        <v>1</v>
      </c>
      <c r="AC580" s="199">
        <f t="shared" si="18"/>
        <v>1</v>
      </c>
    </row>
    <row r="581" spans="4:29">
      <c r="D581" s="174" t="s">
        <v>292</v>
      </c>
      <c r="T581" s="151" t="str">
        <f>IF(T580 = 1, "OK", "Error: should = 100%")</f>
        <v>OK</v>
      </c>
      <c r="U581" s="151" t="str">
        <f t="shared" ref="U581:AC581" si="19">IF(U580 = 1, "OK", "Error: should = 100%")</f>
        <v>OK</v>
      </c>
      <c r="V581" s="151" t="str">
        <f t="shared" si="19"/>
        <v>OK</v>
      </c>
      <c r="W581" s="151" t="str">
        <f t="shared" si="19"/>
        <v>OK</v>
      </c>
      <c r="X581" s="151" t="str">
        <f t="shared" si="19"/>
        <v>OK</v>
      </c>
      <c r="Y581" s="151" t="str">
        <f t="shared" si="19"/>
        <v>OK</v>
      </c>
      <c r="Z581" s="151" t="str">
        <f t="shared" si="19"/>
        <v>OK</v>
      </c>
      <c r="AA581" s="151" t="str">
        <f t="shared" si="19"/>
        <v>OK</v>
      </c>
      <c r="AB581" s="283" t="str">
        <f t="shared" si="19"/>
        <v>OK</v>
      </c>
      <c r="AC581" s="151" t="str">
        <f t="shared" si="19"/>
        <v>OK</v>
      </c>
    </row>
    <row r="582" spans="4:29">
      <c r="AB582" s="283"/>
    </row>
    <row r="583" spans="4:29">
      <c r="D583" s="160" t="s">
        <v>1558</v>
      </c>
      <c r="E583" s="160"/>
      <c r="F583"/>
      <c r="G583"/>
      <c r="H583"/>
      <c r="I583"/>
      <c r="J583"/>
      <c r="K583"/>
      <c r="L583"/>
      <c r="M583"/>
      <c r="N583"/>
      <c r="O583"/>
      <c r="P583"/>
      <c r="Q583"/>
      <c r="R583"/>
      <c r="AB583" s="283"/>
    </row>
    <row r="584" spans="4:29">
      <c r="D584" s="1452" t="s">
        <v>1554</v>
      </c>
      <c r="E584" s="1452"/>
      <c r="F584" s="1452"/>
      <c r="G584" s="1452"/>
      <c r="H584" s="1452"/>
      <c r="I584" s="1452"/>
      <c r="J584" s="1452"/>
      <c r="K584" s="1452"/>
      <c r="L584" s="1452"/>
      <c r="M584" s="1452"/>
      <c r="N584" s="1452"/>
      <c r="O584" s="1452"/>
      <c r="P584" s="1452"/>
      <c r="Q584" s="1452"/>
      <c r="R584" s="1452"/>
      <c r="T584" s="359">
        <v>0.5396178047075274</v>
      </c>
      <c r="U584" s="359">
        <v>0.5396178047075274</v>
      </c>
      <c r="V584" s="359">
        <v>0.5396178047075274</v>
      </c>
      <c r="W584" s="359">
        <v>0.5396178047075274</v>
      </c>
      <c r="X584" s="359">
        <v>0.5396178047075274</v>
      </c>
      <c r="Y584" s="359">
        <v>0.5396178047075274</v>
      </c>
      <c r="Z584" s="359">
        <v>0.5396178047075274</v>
      </c>
      <c r="AA584" s="359">
        <v>0.5396178047075274</v>
      </c>
      <c r="AB584" s="359">
        <v>0.5396178047075274</v>
      </c>
      <c r="AC584" s="359">
        <v>0.5396178047075274</v>
      </c>
    </row>
    <row r="585" spans="4:29">
      <c r="D585" s="1452" t="s">
        <v>1555</v>
      </c>
      <c r="E585" s="1452"/>
      <c r="F585" s="1452"/>
      <c r="G585" s="1452"/>
      <c r="H585" s="1452"/>
      <c r="I585" s="1452"/>
      <c r="J585" s="1452"/>
      <c r="K585" s="1452"/>
      <c r="L585" s="1452"/>
      <c r="M585" s="1452"/>
      <c r="N585" s="1452"/>
      <c r="O585" s="1452"/>
      <c r="P585" s="1452"/>
      <c r="Q585" s="1452"/>
      <c r="R585" s="1452"/>
      <c r="T585" s="359">
        <v>9.6830575623397808E-2</v>
      </c>
      <c r="U585" s="359">
        <v>9.6830575623397808E-2</v>
      </c>
      <c r="V585" s="359">
        <v>9.6830575623397808E-2</v>
      </c>
      <c r="W585" s="359">
        <v>9.6830575623397808E-2</v>
      </c>
      <c r="X585" s="359">
        <v>9.6830575623397808E-2</v>
      </c>
      <c r="Y585" s="359">
        <v>9.6830575623397808E-2</v>
      </c>
      <c r="Z585" s="359">
        <v>9.6830575623397808E-2</v>
      </c>
      <c r="AA585" s="359">
        <v>9.6830575623397808E-2</v>
      </c>
      <c r="AB585" s="359">
        <v>9.6830575623397808E-2</v>
      </c>
      <c r="AC585" s="359">
        <v>9.6830575623397808E-2</v>
      </c>
    </row>
    <row r="586" spans="4:29">
      <c r="D586" s="1452" t="s">
        <v>1556</v>
      </c>
      <c r="E586" s="1452"/>
      <c r="F586" s="1452"/>
      <c r="G586" s="1452"/>
      <c r="H586" s="1452"/>
      <c r="I586" s="1452"/>
      <c r="J586" s="1452"/>
      <c r="K586" s="1452"/>
      <c r="L586" s="1452"/>
      <c r="M586" s="1452"/>
      <c r="N586" s="1452"/>
      <c r="O586" s="1452"/>
      <c r="P586" s="1452"/>
      <c r="Q586" s="1452"/>
      <c r="R586" s="1452"/>
      <c r="T586" s="359">
        <v>0.36355161966907479</v>
      </c>
      <c r="U586" s="359">
        <v>0.36355161966907479</v>
      </c>
      <c r="V586" s="359">
        <v>0.36355161966907479</v>
      </c>
      <c r="W586" s="359">
        <v>0.36355161966907479</v>
      </c>
      <c r="X586" s="359">
        <v>0.36355161966907479</v>
      </c>
      <c r="Y586" s="359">
        <v>0.36355161966907479</v>
      </c>
      <c r="Z586" s="359">
        <v>0.36355161966907479</v>
      </c>
      <c r="AA586" s="359">
        <v>0.36355161966907479</v>
      </c>
      <c r="AB586" s="359">
        <v>0.36355161966907479</v>
      </c>
      <c r="AC586" s="359">
        <v>0.36355161966907479</v>
      </c>
    </row>
    <row r="587" spans="4:29">
      <c r="D587" s="1452" t="s">
        <v>1557</v>
      </c>
      <c r="E587" s="1452"/>
      <c r="F587" s="1452"/>
      <c r="G587" s="1452"/>
      <c r="H587" s="1452"/>
      <c r="I587" s="1452"/>
      <c r="J587" s="1452"/>
      <c r="K587" s="1452"/>
      <c r="L587" s="1452"/>
      <c r="M587" s="1452"/>
      <c r="N587" s="1452"/>
      <c r="O587" s="1452"/>
      <c r="P587" s="1452"/>
      <c r="Q587" s="1452"/>
      <c r="R587" s="1452"/>
      <c r="T587" s="359">
        <v>0</v>
      </c>
      <c r="U587" s="359">
        <v>0</v>
      </c>
      <c r="V587" s="359">
        <v>0</v>
      </c>
      <c r="W587" s="359">
        <v>0</v>
      </c>
      <c r="X587" s="359">
        <v>0</v>
      </c>
      <c r="Y587" s="359">
        <v>0</v>
      </c>
      <c r="Z587" s="359">
        <v>0</v>
      </c>
      <c r="AA587" s="359">
        <v>0</v>
      </c>
      <c r="AB587" s="359">
        <v>0</v>
      </c>
      <c r="AC587" s="359">
        <v>0</v>
      </c>
    </row>
    <row r="588" spans="4:29">
      <c r="D588" s="1453" t="s">
        <v>355</v>
      </c>
      <c r="E588" s="1453"/>
      <c r="F588" s="1453"/>
      <c r="G588" s="1453"/>
      <c r="H588" s="1453"/>
      <c r="I588" s="1453"/>
      <c r="J588" s="1453"/>
      <c r="K588" s="1453"/>
      <c r="L588" s="1453"/>
      <c r="M588" s="1453"/>
      <c r="N588" s="1453"/>
      <c r="O588" s="1453"/>
      <c r="P588" s="1453"/>
      <c r="Q588" s="1453"/>
      <c r="R588" s="1453"/>
      <c r="T588" s="198">
        <f>SUM(T584:T587)</f>
        <v>1</v>
      </c>
      <c r="U588" s="199">
        <f t="shared" ref="U588:AC588" si="20">SUM(U584:U587)</f>
        <v>1</v>
      </c>
      <c r="V588" s="199">
        <f t="shared" si="20"/>
        <v>1</v>
      </c>
      <c r="W588" s="199">
        <f t="shared" si="20"/>
        <v>1</v>
      </c>
      <c r="X588" s="199">
        <f t="shared" si="20"/>
        <v>1</v>
      </c>
      <c r="Y588" s="199">
        <f t="shared" si="20"/>
        <v>1</v>
      </c>
      <c r="Z588" s="199">
        <f t="shared" si="20"/>
        <v>1</v>
      </c>
      <c r="AA588" s="279">
        <f t="shared" si="20"/>
        <v>1</v>
      </c>
      <c r="AB588" s="298">
        <f t="shared" si="20"/>
        <v>1</v>
      </c>
      <c r="AC588" s="199">
        <f t="shared" si="20"/>
        <v>1</v>
      </c>
    </row>
    <row r="589" spans="4:29">
      <c r="D589" s="174" t="s">
        <v>292</v>
      </c>
      <c r="T589" s="151" t="str">
        <f>IF(T588 = 1, "OK", "Error: should = 100%")</f>
        <v>OK</v>
      </c>
      <c r="U589" s="151" t="str">
        <f t="shared" ref="U589:AC589" si="21">IF(U588 = 1, "OK", "Error: should = 100%")</f>
        <v>OK</v>
      </c>
      <c r="V589" s="151" t="str">
        <f t="shared" si="21"/>
        <v>OK</v>
      </c>
      <c r="W589" s="151" t="str">
        <f t="shared" si="21"/>
        <v>OK</v>
      </c>
      <c r="X589" s="151" t="str">
        <f t="shared" si="21"/>
        <v>OK</v>
      </c>
      <c r="Y589" s="151" t="str">
        <f t="shared" si="21"/>
        <v>OK</v>
      </c>
      <c r="Z589" s="151" t="str">
        <f t="shared" si="21"/>
        <v>OK</v>
      </c>
      <c r="AA589" s="151" t="str">
        <f t="shared" si="21"/>
        <v>OK</v>
      </c>
      <c r="AB589" s="283" t="str">
        <f t="shared" si="21"/>
        <v>OK</v>
      </c>
      <c r="AC589" s="151" t="str">
        <f t="shared" si="21"/>
        <v>OK</v>
      </c>
    </row>
    <row r="590" spans="4:29">
      <c r="AB590" s="283"/>
    </row>
    <row r="591" spans="4:29">
      <c r="D591" s="160" t="s">
        <v>1559</v>
      </c>
      <c r="E591" s="160"/>
      <c r="F591"/>
      <c r="G591"/>
      <c r="H591"/>
      <c r="I591"/>
      <c r="J591"/>
      <c r="K591"/>
      <c r="L591"/>
      <c r="M591"/>
      <c r="N591"/>
      <c r="O591"/>
      <c r="P591"/>
      <c r="Q591"/>
      <c r="R591"/>
      <c r="T591" s="196" t="s">
        <v>225</v>
      </c>
      <c r="U591" s="197" t="s">
        <v>225</v>
      </c>
      <c r="V591" s="197" t="s">
        <v>225</v>
      </c>
      <c r="W591" s="197" t="s">
        <v>225</v>
      </c>
      <c r="X591" s="197" t="s">
        <v>225</v>
      </c>
      <c r="Y591" s="197" t="s">
        <v>225</v>
      </c>
      <c r="Z591" s="197" t="s">
        <v>225</v>
      </c>
      <c r="AA591" s="278" t="s">
        <v>225</v>
      </c>
      <c r="AB591" s="296" t="s">
        <v>225</v>
      </c>
      <c r="AC591" s="197" t="s">
        <v>225</v>
      </c>
    </row>
    <row r="592" spans="4:29">
      <c r="D592" s="1452" t="s">
        <v>1560</v>
      </c>
      <c r="E592" s="1452"/>
      <c r="F592" s="1452"/>
      <c r="G592" s="1452"/>
      <c r="H592" s="1452"/>
      <c r="I592" s="1452"/>
      <c r="J592" s="1452"/>
      <c r="K592" s="1452"/>
      <c r="L592" s="1452"/>
      <c r="M592" s="1452"/>
      <c r="N592" s="1452"/>
      <c r="O592" s="1452"/>
      <c r="P592" s="1452"/>
      <c r="Q592" s="1452"/>
      <c r="R592" s="1452"/>
      <c r="T592" s="359">
        <v>0.6397166585246703</v>
      </c>
      <c r="U592" s="359">
        <v>0.6397166585246703</v>
      </c>
      <c r="V592" s="359">
        <v>0.6397166585246703</v>
      </c>
      <c r="W592" s="359">
        <v>0.6397166585246703</v>
      </c>
      <c r="X592" s="359">
        <v>0.6397166585246703</v>
      </c>
      <c r="Y592" s="359">
        <v>0.6397166585246703</v>
      </c>
      <c r="Z592" s="359">
        <v>0.6397166585246703</v>
      </c>
      <c r="AA592" s="359">
        <v>0.6397166585246703</v>
      </c>
      <c r="AB592" s="359">
        <v>0.6397166585246703</v>
      </c>
      <c r="AC592" s="359">
        <v>0.6397166585246703</v>
      </c>
    </row>
    <row r="593" spans="2:38">
      <c r="D593" s="1452" t="s">
        <v>1561</v>
      </c>
      <c r="E593" s="1452"/>
      <c r="F593" s="1452"/>
      <c r="G593" s="1452"/>
      <c r="H593" s="1452"/>
      <c r="I593" s="1452"/>
      <c r="J593" s="1452"/>
      <c r="K593" s="1452"/>
      <c r="L593" s="1452"/>
      <c r="M593" s="1452"/>
      <c r="N593" s="1452"/>
      <c r="O593" s="1452"/>
      <c r="P593" s="1452"/>
      <c r="Q593" s="1452"/>
      <c r="R593" s="1452"/>
      <c r="T593" s="359">
        <v>0.36028334147532975</v>
      </c>
      <c r="U593" s="359">
        <v>0.36028334147532975</v>
      </c>
      <c r="V593" s="359">
        <v>0.36028334147532975</v>
      </c>
      <c r="W593" s="359">
        <v>0.36028334147532975</v>
      </c>
      <c r="X593" s="359">
        <v>0.36028334147532975</v>
      </c>
      <c r="Y593" s="359">
        <v>0.36028334147532975</v>
      </c>
      <c r="Z593" s="359">
        <v>0.36028334147532975</v>
      </c>
      <c r="AA593" s="359">
        <v>0.36028334147532975</v>
      </c>
      <c r="AB593" s="359">
        <v>0.36028334147532975</v>
      </c>
      <c r="AC593" s="359">
        <v>0.36028334147532975</v>
      </c>
    </row>
    <row r="594" spans="2:38">
      <c r="D594" s="1453" t="s">
        <v>355</v>
      </c>
      <c r="E594" s="1453"/>
      <c r="F594" s="1453"/>
      <c r="G594" s="1453"/>
      <c r="H594" s="1453"/>
      <c r="I594" s="1453"/>
      <c r="J594" s="1453"/>
      <c r="K594" s="1453"/>
      <c r="L594" s="1453"/>
      <c r="M594" s="1453"/>
      <c r="N594" s="1453"/>
      <c r="O594" s="1453"/>
      <c r="P594" s="1453"/>
      <c r="Q594" s="1453"/>
      <c r="R594" s="1453"/>
      <c r="T594" s="198">
        <f t="shared" ref="T594:AC594" si="22">SUM(T592:T593)</f>
        <v>1</v>
      </c>
      <c r="U594" s="199">
        <f t="shared" si="22"/>
        <v>1</v>
      </c>
      <c r="V594" s="199">
        <f t="shared" si="22"/>
        <v>1</v>
      </c>
      <c r="W594" s="199">
        <f t="shared" si="22"/>
        <v>1</v>
      </c>
      <c r="X594" s="199">
        <f t="shared" si="22"/>
        <v>1</v>
      </c>
      <c r="Y594" s="199">
        <f t="shared" si="22"/>
        <v>1</v>
      </c>
      <c r="Z594" s="199">
        <f t="shared" si="22"/>
        <v>1</v>
      </c>
      <c r="AA594" s="279">
        <f t="shared" si="22"/>
        <v>1</v>
      </c>
      <c r="AB594" s="298">
        <f t="shared" si="22"/>
        <v>1</v>
      </c>
      <c r="AC594" s="199">
        <f t="shared" si="22"/>
        <v>1</v>
      </c>
    </row>
    <row r="595" spans="2:38">
      <c r="D595" s="174" t="s">
        <v>292</v>
      </c>
      <c r="T595" s="151" t="str">
        <f>IF(T594 = 1, "OK", "Error: should = 100%")</f>
        <v>OK</v>
      </c>
      <c r="U595" s="151" t="str">
        <f t="shared" ref="U595:AC595" si="23">IF(U594 = 1, "OK", "Error: should = 100%")</f>
        <v>OK</v>
      </c>
      <c r="V595" s="151" t="str">
        <f t="shared" si="23"/>
        <v>OK</v>
      </c>
      <c r="W595" s="151" t="str">
        <f t="shared" si="23"/>
        <v>OK</v>
      </c>
      <c r="X595" s="151" t="str">
        <f t="shared" si="23"/>
        <v>OK</v>
      </c>
      <c r="Y595" s="151" t="str">
        <f t="shared" si="23"/>
        <v>OK</v>
      </c>
      <c r="Z595" s="151" t="str">
        <f t="shared" si="23"/>
        <v>OK</v>
      </c>
      <c r="AA595" s="151" t="str">
        <f t="shared" si="23"/>
        <v>OK</v>
      </c>
      <c r="AB595" s="283" t="str">
        <f t="shared" si="23"/>
        <v>OK</v>
      </c>
      <c r="AC595" s="151" t="str">
        <f t="shared" si="23"/>
        <v>OK</v>
      </c>
    </row>
    <row r="596" spans="2:38">
      <c r="AB596" s="283"/>
    </row>
    <row r="597" spans="2:38">
      <c r="D597" s="160" t="s">
        <v>1562</v>
      </c>
      <c r="E597" s="160"/>
      <c r="F597"/>
      <c r="G597"/>
      <c r="H597"/>
      <c r="I597"/>
      <c r="J597"/>
      <c r="K597"/>
      <c r="L597"/>
      <c r="M597"/>
      <c r="N597"/>
      <c r="O597"/>
      <c r="P597"/>
      <c r="Q597"/>
      <c r="R597"/>
      <c r="AB597" s="283"/>
    </row>
    <row r="598" spans="2:38" ht="12.75" customHeight="1">
      <c r="D598" s="1452" t="s">
        <v>1560</v>
      </c>
      <c r="E598" s="1452"/>
      <c r="F598" s="1452"/>
      <c r="G598" s="1452"/>
      <c r="H598" s="1452"/>
      <c r="I598" s="1452"/>
      <c r="J598" s="1452"/>
      <c r="K598" s="1452"/>
      <c r="L598" s="1452"/>
      <c r="M598" s="1452"/>
      <c r="N598" s="1452"/>
      <c r="O598" s="1452"/>
      <c r="P598" s="1452"/>
      <c r="Q598" s="1452"/>
      <c r="R598" s="1452"/>
      <c r="T598" s="359">
        <v>1.0041948263807969</v>
      </c>
      <c r="U598" s="359">
        <v>1.0041948263807969</v>
      </c>
      <c r="V598" s="359">
        <v>1.0041948263807969</v>
      </c>
      <c r="W598" s="359">
        <v>1.0041948263807969</v>
      </c>
      <c r="X598" s="359">
        <v>1.0041948263807969</v>
      </c>
      <c r="Y598" s="359">
        <v>1.0041948263807969</v>
      </c>
      <c r="Z598" s="359">
        <v>1.0041948263807969</v>
      </c>
      <c r="AA598" s="359">
        <v>1.0041948263807969</v>
      </c>
      <c r="AB598" s="359">
        <v>1.0041948263807969</v>
      </c>
      <c r="AC598" s="359">
        <v>1.0041948263807969</v>
      </c>
    </row>
    <row r="599" spans="2:38" ht="12.75" customHeight="1">
      <c r="D599" s="1452" t="s">
        <v>1561</v>
      </c>
      <c r="E599" s="1452"/>
      <c r="F599" s="1452"/>
      <c r="G599" s="1452"/>
      <c r="H599" s="1452"/>
      <c r="I599" s="1452"/>
      <c r="J599" s="1452"/>
      <c r="K599" s="1452"/>
      <c r="L599" s="1452"/>
      <c r="M599" s="1452"/>
      <c r="N599" s="1452"/>
      <c r="O599" s="1452"/>
      <c r="P599" s="1452"/>
      <c r="Q599" s="1452"/>
      <c r="R599" s="1452"/>
      <c r="T599" s="359">
        <v>-4.1948263807970168E-3</v>
      </c>
      <c r="U599" s="359">
        <v>-4.1948263807970168E-3</v>
      </c>
      <c r="V599" s="359">
        <v>-4.1948263807970168E-3</v>
      </c>
      <c r="W599" s="359">
        <v>-4.1948263807970168E-3</v>
      </c>
      <c r="X599" s="359">
        <v>-4.1948263807970168E-3</v>
      </c>
      <c r="Y599" s="359">
        <v>-4.1948263807970168E-3</v>
      </c>
      <c r="Z599" s="359">
        <v>-4.1948263807970168E-3</v>
      </c>
      <c r="AA599" s="359">
        <v>-4.1948263807970168E-3</v>
      </c>
      <c r="AB599" s="359">
        <v>-4.1948263807970168E-3</v>
      </c>
      <c r="AC599" s="359">
        <v>-4.1948263807970168E-3</v>
      </c>
    </row>
    <row r="600" spans="2:38">
      <c r="D600" s="1453" t="s">
        <v>355</v>
      </c>
      <c r="E600" s="1453"/>
      <c r="F600" s="1453"/>
      <c r="G600" s="1453"/>
      <c r="H600" s="1453"/>
      <c r="I600" s="1453"/>
      <c r="J600" s="1453"/>
      <c r="K600" s="1453"/>
      <c r="L600" s="1453"/>
      <c r="M600" s="1453"/>
      <c r="N600" s="1453"/>
      <c r="O600" s="1453"/>
      <c r="P600" s="1453"/>
      <c r="Q600" s="1453"/>
      <c r="R600" s="1453"/>
      <c r="T600" s="198">
        <f t="shared" ref="T600:AC600" si="24">SUM(T598:T599)</f>
        <v>0.99999999999999989</v>
      </c>
      <c r="U600" s="199">
        <f t="shared" si="24"/>
        <v>0.99999999999999989</v>
      </c>
      <c r="V600" s="199">
        <f t="shared" si="24"/>
        <v>0.99999999999999989</v>
      </c>
      <c r="W600" s="199">
        <f t="shared" si="24"/>
        <v>0.99999999999999989</v>
      </c>
      <c r="X600" s="199">
        <f t="shared" si="24"/>
        <v>0.99999999999999989</v>
      </c>
      <c r="Y600" s="199">
        <f t="shared" si="24"/>
        <v>0.99999999999999989</v>
      </c>
      <c r="Z600" s="199">
        <f t="shared" si="24"/>
        <v>0.99999999999999989</v>
      </c>
      <c r="AA600" s="279">
        <f t="shared" si="24"/>
        <v>0.99999999999999989</v>
      </c>
      <c r="AB600" s="298">
        <f t="shared" si="24"/>
        <v>0.99999999999999989</v>
      </c>
      <c r="AC600" s="199">
        <f t="shared" si="24"/>
        <v>0.99999999999999989</v>
      </c>
    </row>
    <row r="601" spans="2:38">
      <c r="D601" s="174" t="s">
        <v>292</v>
      </c>
      <c r="T601" s="565" t="str">
        <f>IF(T600 = 1, "OK", "Error: should = 100%")</f>
        <v>OK</v>
      </c>
      <c r="U601" s="565" t="str">
        <f t="shared" ref="U601:AC601" si="25">IF(U600 = 1, "OK", "Error: should = 100%")</f>
        <v>OK</v>
      </c>
      <c r="V601" s="565" t="str">
        <f t="shared" si="25"/>
        <v>OK</v>
      </c>
      <c r="W601" s="565" t="str">
        <f t="shared" si="25"/>
        <v>OK</v>
      </c>
      <c r="X601" s="565" t="str">
        <f t="shared" si="25"/>
        <v>OK</v>
      </c>
      <c r="Y601" s="565" t="str">
        <f t="shared" si="25"/>
        <v>OK</v>
      </c>
      <c r="Z601" s="565" t="str">
        <f t="shared" si="25"/>
        <v>OK</v>
      </c>
      <c r="AA601" s="565" t="str">
        <f t="shared" si="25"/>
        <v>OK</v>
      </c>
      <c r="AB601" s="565" t="str">
        <f t="shared" si="25"/>
        <v>OK</v>
      </c>
      <c r="AC601" s="565" t="str">
        <f t="shared" si="25"/>
        <v>OK</v>
      </c>
    </row>
    <row r="602" spans="2:38">
      <c r="D602" s="174"/>
    </row>
    <row r="604" spans="2:38" s="165" customFormat="1" ht="15" customHeight="1">
      <c r="B604" s="313" t="s">
        <v>875</v>
      </c>
      <c r="C604" s="31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4"/>
      <c r="AE604" s="164"/>
      <c r="AF604" s="164"/>
      <c r="AG604" s="164"/>
      <c r="AH604" s="164"/>
      <c r="AI604" s="164"/>
      <c r="AJ604" s="164"/>
      <c r="AK604" s="164"/>
      <c r="AL604" s="164"/>
    </row>
  </sheetData>
  <dataConsolidate/>
  <mergeCells count="257">
    <mergeCell ref="C420:Q420"/>
    <mergeCell ref="C421:Q421"/>
    <mergeCell ref="C422:Q422"/>
    <mergeCell ref="C423:Q423"/>
    <mergeCell ref="C424:Q424"/>
    <mergeCell ref="C411:Q411"/>
    <mergeCell ref="C412:Q412"/>
    <mergeCell ref="C413:Q413"/>
    <mergeCell ref="C414:Q414"/>
    <mergeCell ref="C415:Q415"/>
    <mergeCell ref="C416:Q416"/>
    <mergeCell ref="C417:Q417"/>
    <mergeCell ref="C418:Q418"/>
    <mergeCell ref="C419:Q419"/>
    <mergeCell ref="C88:S88"/>
    <mergeCell ref="C89:S89"/>
    <mergeCell ref="C90:S90"/>
    <mergeCell ref="C91:S91"/>
    <mergeCell ref="C400:Q400"/>
    <mergeCell ref="C401:Q401"/>
    <mergeCell ref="C402:Q402"/>
    <mergeCell ref="C403:Q403"/>
    <mergeCell ref="C404:Q404"/>
    <mergeCell ref="F246:F247"/>
    <mergeCell ref="C397:Q397"/>
    <mergeCell ref="C399:Q399"/>
    <mergeCell ref="D148:N148"/>
    <mergeCell ref="D149:N149"/>
    <mergeCell ref="D150:N150"/>
    <mergeCell ref="D151:N151"/>
    <mergeCell ref="D152:N152"/>
    <mergeCell ref="D153:N153"/>
    <mergeCell ref="C225:Q225"/>
    <mergeCell ref="C241:Q241"/>
    <mergeCell ref="C236:Q236"/>
    <mergeCell ref="C235:Q235"/>
    <mergeCell ref="C229:Q229"/>
    <mergeCell ref="C228:Q228"/>
    <mergeCell ref="D553:R553"/>
    <mergeCell ref="C526:Q526"/>
    <mergeCell ref="J245:R245"/>
    <mergeCell ref="F178:F179"/>
    <mergeCell ref="D167:N167"/>
    <mergeCell ref="D168:N168"/>
    <mergeCell ref="D169:N169"/>
    <mergeCell ref="D172:N172"/>
    <mergeCell ref="D543:Q543"/>
    <mergeCell ref="D536:Q536"/>
    <mergeCell ref="D546:Q546"/>
    <mergeCell ref="D544:Q544"/>
    <mergeCell ref="D545:Q545"/>
    <mergeCell ref="D552:R552"/>
    <mergeCell ref="D514:Q514"/>
    <mergeCell ref="D538:Q538"/>
    <mergeCell ref="D515:Q515"/>
    <mergeCell ref="D516:Q516"/>
    <mergeCell ref="D517:Q517"/>
    <mergeCell ref="C506:Q506"/>
    <mergeCell ref="C507:Q507"/>
    <mergeCell ref="C508:Q508"/>
    <mergeCell ref="C509:Q509"/>
    <mergeCell ref="C510:Q510"/>
    <mergeCell ref="F429:F430"/>
    <mergeCell ref="F454:N454"/>
    <mergeCell ref="C446:Q446"/>
    <mergeCell ref="C462:Q462"/>
    <mergeCell ref="C463:Q463"/>
    <mergeCell ref="C464:Q464"/>
    <mergeCell ref="C479:Q479"/>
    <mergeCell ref="F452:N453"/>
    <mergeCell ref="C447:Q447"/>
    <mergeCell ref="C438:Q438"/>
    <mergeCell ref="C439:Q439"/>
    <mergeCell ref="C465:Q465"/>
    <mergeCell ref="C476:Q476"/>
    <mergeCell ref="C460:Q460"/>
    <mergeCell ref="C478:Q478"/>
    <mergeCell ref="F455:N455"/>
    <mergeCell ref="F456:N456"/>
    <mergeCell ref="F457:N457"/>
    <mergeCell ref="C458:Q458"/>
    <mergeCell ref="C461:Q461"/>
    <mergeCell ref="C437:Q437"/>
    <mergeCell ref="D554:R554"/>
    <mergeCell ref="D555:R555"/>
    <mergeCell ref="D566:R566"/>
    <mergeCell ref="D549:R549"/>
    <mergeCell ref="D551:R551"/>
    <mergeCell ref="D565:R565"/>
    <mergeCell ref="D518:Q518"/>
    <mergeCell ref="D534:Q534"/>
    <mergeCell ref="D535:Q535"/>
    <mergeCell ref="D550:R550"/>
    <mergeCell ref="D561:R561"/>
    <mergeCell ref="D562:R562"/>
    <mergeCell ref="D563:R563"/>
    <mergeCell ref="D564:R564"/>
    <mergeCell ref="D539:Q539"/>
    <mergeCell ref="D540:Q540"/>
    <mergeCell ref="D541:Q541"/>
    <mergeCell ref="D542:Q542"/>
    <mergeCell ref="D556:R556"/>
    <mergeCell ref="D557:R557"/>
    <mergeCell ref="D558:R558"/>
    <mergeCell ref="D559:R559"/>
    <mergeCell ref="D560:R560"/>
    <mergeCell ref="D537:Q537"/>
    <mergeCell ref="D576:R576"/>
    <mergeCell ref="D577:R577"/>
    <mergeCell ref="D578:R578"/>
    <mergeCell ref="D600:R600"/>
    <mergeCell ref="D580:R580"/>
    <mergeCell ref="D584:R584"/>
    <mergeCell ref="D585:R585"/>
    <mergeCell ref="D586:R586"/>
    <mergeCell ref="D587:R587"/>
    <mergeCell ref="D588:R588"/>
    <mergeCell ref="D592:R592"/>
    <mergeCell ref="D593:R593"/>
    <mergeCell ref="D594:R594"/>
    <mergeCell ref="D598:R598"/>
    <mergeCell ref="D599:R599"/>
    <mergeCell ref="D579:R579"/>
    <mergeCell ref="C519:Q519"/>
    <mergeCell ref="C520:Q520"/>
    <mergeCell ref="C521:Q521"/>
    <mergeCell ref="C522:Q522"/>
    <mergeCell ref="C523:Q523"/>
    <mergeCell ref="C524:Q524"/>
    <mergeCell ref="C525:Q525"/>
    <mergeCell ref="C483:Q483"/>
    <mergeCell ref="C480:Q480"/>
    <mergeCell ref="C481:Q481"/>
    <mergeCell ref="C505:Q505"/>
    <mergeCell ref="D500:Q500"/>
    <mergeCell ref="D501:Q501"/>
    <mergeCell ref="D502:Q502"/>
    <mergeCell ref="C503:Q503"/>
    <mergeCell ref="D487:Q487"/>
    <mergeCell ref="D488:Q488"/>
    <mergeCell ref="C482:Q482"/>
    <mergeCell ref="D495:Q495"/>
    <mergeCell ref="D496:Q496"/>
    <mergeCell ref="D497:Q497"/>
    <mergeCell ref="D498:Q498"/>
    <mergeCell ref="D499:Q499"/>
    <mergeCell ref="T7:X7"/>
    <mergeCell ref="Y7:AC7"/>
    <mergeCell ref="C441:Q441"/>
    <mergeCell ref="C425:Q425"/>
    <mergeCell ref="C435:Q435"/>
    <mergeCell ref="C333:Q333"/>
    <mergeCell ref="C334:Q334"/>
    <mergeCell ref="C391:Q391"/>
    <mergeCell ref="C392:Q392"/>
    <mergeCell ref="C393:Q393"/>
    <mergeCell ref="C394:Q394"/>
    <mergeCell ref="C395:Q395"/>
    <mergeCell ref="C396:Q396"/>
    <mergeCell ref="C92:S92"/>
    <mergeCell ref="C127:S127"/>
    <mergeCell ref="C142:M142"/>
    <mergeCell ref="C157:Q157"/>
    <mergeCell ref="D154:N154"/>
    <mergeCell ref="D155:N155"/>
    <mergeCell ref="D156:N156"/>
    <mergeCell ref="D165:N165"/>
    <mergeCell ref="D166:N166"/>
    <mergeCell ref="C173:Q173"/>
    <mergeCell ref="C440:Q440"/>
    <mergeCell ref="C227:Q227"/>
    <mergeCell ref="D164:N164"/>
    <mergeCell ref="D170:N170"/>
    <mergeCell ref="D171:N171"/>
    <mergeCell ref="C234:Q234"/>
    <mergeCell ref="C233:Q233"/>
    <mergeCell ref="C232:Q232"/>
    <mergeCell ref="C231:Q231"/>
    <mergeCell ref="C230:Q230"/>
    <mergeCell ref="C335:Q335"/>
    <mergeCell ref="C336:Q336"/>
    <mergeCell ref="C337:Q337"/>
    <mergeCell ref="C338:Q338"/>
    <mergeCell ref="C339:Q339"/>
    <mergeCell ref="C340:Q340"/>
    <mergeCell ref="C341:Q341"/>
    <mergeCell ref="C342:Q342"/>
    <mergeCell ref="C343:Q343"/>
    <mergeCell ref="C344:Q344"/>
    <mergeCell ref="C345:Q345"/>
    <mergeCell ref="C346:Q346"/>
    <mergeCell ref="C347:Q347"/>
    <mergeCell ref="C348:Q348"/>
    <mergeCell ref="C349:Q349"/>
    <mergeCell ref="C350:Q350"/>
    <mergeCell ref="C351:Q351"/>
    <mergeCell ref="C352:Q352"/>
    <mergeCell ref="C353:Q353"/>
    <mergeCell ref="C354:Q354"/>
    <mergeCell ref="C355:Q355"/>
    <mergeCell ref="C356:Q356"/>
    <mergeCell ref="C357:Q357"/>
    <mergeCell ref="C358:Q358"/>
    <mergeCell ref="C359:Q359"/>
    <mergeCell ref="C360:Q360"/>
    <mergeCell ref="C361:Q361"/>
    <mergeCell ref="C362:Q362"/>
    <mergeCell ref="C363:Q363"/>
    <mergeCell ref="C364:Q364"/>
    <mergeCell ref="C365:Q365"/>
    <mergeCell ref="C366:Q366"/>
    <mergeCell ref="C367:Q367"/>
    <mergeCell ref="C368:Q368"/>
    <mergeCell ref="C369:Q369"/>
    <mergeCell ref="C370:Q370"/>
    <mergeCell ref="C371:Q371"/>
    <mergeCell ref="C372:Q372"/>
    <mergeCell ref="C373:Q373"/>
    <mergeCell ref="C374:Q374"/>
    <mergeCell ref="C375:Q375"/>
    <mergeCell ref="C376:Q376"/>
    <mergeCell ref="C377:Q377"/>
    <mergeCell ref="C378:Q378"/>
    <mergeCell ref="C379:Q379"/>
    <mergeCell ref="C380:Q380"/>
    <mergeCell ref="C381:Q381"/>
    <mergeCell ref="C382:Q382"/>
    <mergeCell ref="C383:Q383"/>
    <mergeCell ref="C384:Q384"/>
    <mergeCell ref="C385:Q385"/>
    <mergeCell ref="C386:Q386"/>
    <mergeCell ref="C387:Q387"/>
    <mergeCell ref="C388:Q388"/>
    <mergeCell ref="C389:Q389"/>
    <mergeCell ref="C390:Q390"/>
    <mergeCell ref="C398:Q398"/>
    <mergeCell ref="D489:Q489"/>
    <mergeCell ref="D490:Q490"/>
    <mergeCell ref="D491:Q491"/>
    <mergeCell ref="D492:Q492"/>
    <mergeCell ref="D493:Q493"/>
    <mergeCell ref="D494:Q494"/>
    <mergeCell ref="F475:N475"/>
    <mergeCell ref="C444:Q444"/>
    <mergeCell ref="C445:Q445"/>
    <mergeCell ref="C442:Q442"/>
    <mergeCell ref="C443:Q443"/>
    <mergeCell ref="F470:N471"/>
    <mergeCell ref="F472:N472"/>
    <mergeCell ref="F473:N473"/>
    <mergeCell ref="F474:N474"/>
    <mergeCell ref="C405:Q405"/>
    <mergeCell ref="C406:Q406"/>
    <mergeCell ref="C407:Q407"/>
    <mergeCell ref="C408:Q408"/>
    <mergeCell ref="C409:Q409"/>
    <mergeCell ref="C410:Q410"/>
  </mergeCells>
  <phoneticPr fontId="265" type="noConversion"/>
  <conditionalFormatting sqref="B118:B126 T582:AC582 T485:AC485 B148:B156 B133:B142 T454:AC458 T472:AC477 T515:AC520 T584:AC587 T13:AC19 B25:B91 T248:AC331 T334:AC425 T431:AC435 T488:AC503">
    <cfRule type="cellIs" priority="176" stopIfTrue="1" operator="greaterThanOrEqual">
      <formula>0</formula>
    </cfRule>
  </conditionalFormatting>
  <conditionalFormatting sqref="T569:AC569">
    <cfRule type="cellIs" priority="174" stopIfTrue="1" operator="greaterThanOrEqual">
      <formula>0</formula>
    </cfRule>
  </conditionalFormatting>
  <conditionalFormatting sqref="B97:B112">
    <cfRule type="cellIs" priority="172" stopIfTrue="1" operator="greaterThanOrEqual">
      <formula>0</formula>
    </cfRule>
  </conditionalFormatting>
  <conditionalFormatting sqref="T512:AC512">
    <cfRule type="cellIs" priority="171" stopIfTrue="1" operator="greaterThanOrEqual">
      <formula>0</formula>
    </cfRule>
  </conditionalFormatting>
  <conditionalFormatting sqref="T504:AC504">
    <cfRule type="cellIs" priority="170" stopIfTrue="1" operator="greaterThanOrEqual">
      <formula>0</formula>
    </cfRule>
  </conditionalFormatting>
  <conditionalFormatting sqref="B127">
    <cfRule type="cellIs" priority="169" stopIfTrue="1" operator="greaterThanOrEqual">
      <formula>0</formula>
    </cfRule>
  </conditionalFormatting>
  <conditionalFormatting sqref="B157">
    <cfRule type="cellIs" priority="165" stopIfTrue="1" operator="greaterThanOrEqual">
      <formula>0</formula>
    </cfRule>
  </conditionalFormatting>
  <conditionalFormatting sqref="B92 T92:AC92">
    <cfRule type="cellIs" priority="167" stopIfTrue="1" operator="greaterThanOrEqual">
      <formula>0</formula>
    </cfRule>
  </conditionalFormatting>
  <conditionalFormatting sqref="B173">
    <cfRule type="cellIs" priority="164" stopIfTrue="1" operator="greaterThanOrEqual">
      <formula>0</formula>
    </cfRule>
  </conditionalFormatting>
  <conditionalFormatting sqref="B225">
    <cfRule type="cellIs" priority="163" stopIfTrue="1" operator="greaterThanOrEqual">
      <formula>0</formula>
    </cfRule>
  </conditionalFormatting>
  <conditionalFormatting sqref="C142">
    <cfRule type="cellIs" priority="157" stopIfTrue="1" operator="greaterThanOrEqual">
      <formula>0</formula>
    </cfRule>
  </conditionalFormatting>
  <conditionalFormatting sqref="C241">
    <cfRule type="cellIs" priority="161" stopIfTrue="1" operator="greaterThanOrEqual">
      <formula>0</formula>
    </cfRule>
  </conditionalFormatting>
  <conditionalFormatting sqref="B241">
    <cfRule type="cellIs" priority="162" stopIfTrue="1" operator="greaterThanOrEqual">
      <formula>0</formula>
    </cfRule>
  </conditionalFormatting>
  <conditionalFormatting sqref="C127">
    <cfRule type="cellIs" priority="158" stopIfTrue="1" operator="greaterThanOrEqual">
      <formula>0</formula>
    </cfRule>
  </conditionalFormatting>
  <conditionalFormatting sqref="C157">
    <cfRule type="cellIs" priority="141" stopIfTrue="1" operator="greaterThanOrEqual">
      <formula>0</formula>
    </cfRule>
  </conditionalFormatting>
  <conditionalFormatting sqref="C225">
    <cfRule type="cellIs" priority="119" stopIfTrue="1" operator="greaterThanOrEqual">
      <formula>0</formula>
    </cfRule>
  </conditionalFormatting>
  <conditionalFormatting sqref="C458">
    <cfRule type="cellIs" priority="108" stopIfTrue="1" operator="greaterThanOrEqual">
      <formula>0</formula>
    </cfRule>
  </conditionalFormatting>
  <conditionalFormatting sqref="C503">
    <cfRule type="cellIs" priority="99" stopIfTrue="1" operator="greaterThanOrEqual">
      <formula>0</formula>
    </cfRule>
  </conditionalFormatting>
  <conditionalFormatting sqref="C519">
    <cfRule type="cellIs" priority="97" stopIfTrue="1" operator="greaterThanOrEqual">
      <formula>0</formula>
    </cfRule>
  </conditionalFormatting>
  <conditionalFormatting sqref="C476">
    <cfRule type="cellIs" priority="101" stopIfTrue="1" operator="greaterThanOrEqual">
      <formula>0</formula>
    </cfRule>
  </conditionalFormatting>
  <conditionalFormatting sqref="T589:AC589 T581:AC581 T595:AC595 T601:AC601">
    <cfRule type="expression" dxfId="25" priority="95">
      <formula>T580&lt;&gt;1</formula>
    </cfRule>
  </conditionalFormatting>
  <conditionalFormatting sqref="T592:AC593 T598:AC599">
    <cfRule type="cellIs" priority="6" stopIfTrue="1" operator="greaterThanOrEqual">
      <formula>0</formula>
    </cfRule>
  </conditionalFormatting>
  <conditionalFormatting sqref="T105:AC108">
    <cfRule type="cellIs" priority="3" stopIfTrue="1" operator="greaterThanOrEqual">
      <formula>0</formula>
    </cfRule>
  </conditionalFormatting>
  <conditionalFormatting sqref="T97:AC103">
    <cfRule type="cellIs" priority="4" stopIfTrue="1" operator="greaterThanOrEqual">
      <formula>0</formula>
    </cfRule>
  </conditionalFormatting>
  <conditionalFormatting sqref="T109:AC112">
    <cfRule type="cellIs" priority="2" stopIfTrue="1" operator="greaterThanOrEqual">
      <formula>0</formula>
    </cfRule>
  </conditionalFormatting>
  <conditionalFormatting sqref="T104:AC104">
    <cfRule type="cellIs" priority="1"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rowBreaks count="1" manualBreakCount="1">
    <brk id="449" max="38" man="1"/>
  </rowBreaks>
  <customProperties>
    <customPr name="EpmWorksheetKeyString_GU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80" zoomScaleNormal="80" workbookViewId="0">
      <pane ySplit="7" topLeftCell="A44" activePane="bottomLeft" state="frozen"/>
      <selection activeCell="B3" sqref="B3:F3"/>
      <selection pane="bottomLeft" activeCell="G58" sqref="G58"/>
    </sheetView>
  </sheetViews>
  <sheetFormatPr defaultRowHeight="13.5"/>
  <cols>
    <col min="1" max="1" width="8.3828125" customWidth="1"/>
    <col min="2" max="2" width="52.15234375" bestFit="1" customWidth="1"/>
    <col min="3" max="3" width="4.23046875" customWidth="1"/>
    <col min="4" max="4" width="14.15234375" style="91" customWidth="1"/>
    <col min="5" max="9" width="11.15234375" customWidth="1"/>
    <col min="10" max="10" width="5" customWidth="1"/>
    <col min="12" max="12" width="9" style="89"/>
  </cols>
  <sheetData>
    <row r="1" spans="1:18" ht="20">
      <c r="A1" s="1170" t="s">
        <v>1563</v>
      </c>
      <c r="B1" s="751"/>
      <c r="C1" s="751"/>
      <c r="D1" s="796"/>
      <c r="E1" s="752"/>
      <c r="F1" s="752"/>
      <c r="G1" s="752"/>
      <c r="H1" s="752"/>
      <c r="I1" s="752"/>
      <c r="J1" s="1179"/>
    </row>
    <row r="2" spans="1:18" ht="20">
      <c r="A2" s="644" t="str">
        <f>Licensee</f>
        <v>NGET (TO)</v>
      </c>
      <c r="B2" s="639"/>
      <c r="C2" s="639"/>
      <c r="D2" s="101"/>
      <c r="E2" s="16"/>
      <c r="F2" s="16"/>
      <c r="G2" s="16"/>
      <c r="H2" s="16"/>
      <c r="I2" s="16"/>
      <c r="J2" s="66"/>
    </row>
    <row r="3" spans="1:18" ht="20">
      <c r="A3" s="639">
        <f>Reporting_Year</f>
        <v>2022</v>
      </c>
      <c r="B3" s="963"/>
      <c r="C3" s="963"/>
      <c r="D3" s="963"/>
      <c r="E3" s="963"/>
      <c r="F3" s="963"/>
      <c r="G3" s="963"/>
      <c r="H3" s="963"/>
      <c r="I3" s="963"/>
      <c r="J3" s="120"/>
    </row>
    <row r="4" spans="1:18" s="2" customFormat="1" ht="12.75" customHeight="1">
      <c r="D4" s="1"/>
      <c r="L4" s="67"/>
    </row>
    <row r="5" spans="1:18" s="2" customFormat="1">
      <c r="B5" s="21"/>
      <c r="C5" s="21"/>
      <c r="D5" s="102"/>
      <c r="E5" s="250" t="str">
        <f t="shared" ref="E5:I5" si="0">IF(E6&lt;=Reporting_Year,"Actuals","Forecast")</f>
        <v>Actuals</v>
      </c>
      <c r="F5" s="250" t="str">
        <f t="shared" si="0"/>
        <v>Forecast</v>
      </c>
      <c r="G5" s="250" t="str">
        <f t="shared" si="0"/>
        <v>Forecast</v>
      </c>
      <c r="H5" s="250" t="str">
        <f t="shared" si="0"/>
        <v>Forecast</v>
      </c>
      <c r="I5" s="250" t="str">
        <f t="shared" si="0"/>
        <v>Forecast</v>
      </c>
      <c r="L5" s="67"/>
    </row>
    <row r="6" spans="1:18" s="2" customFormat="1">
      <c r="D6" s="1"/>
      <c r="E6" s="63">
        <f>'RFPR cover'!$C$6</f>
        <v>2022</v>
      </c>
      <c r="F6" s="64">
        <f>E6+1</f>
        <v>2023</v>
      </c>
      <c r="G6" s="64">
        <f t="shared" ref="G6:I6" si="1">F6+1</f>
        <v>2024</v>
      </c>
      <c r="H6" s="64">
        <f t="shared" si="1"/>
        <v>2025</v>
      </c>
      <c r="I6" s="64">
        <f t="shared" si="1"/>
        <v>2026</v>
      </c>
      <c r="L6" s="67"/>
    </row>
    <row r="7" spans="1:18" s="2" customFormat="1">
      <c r="D7" s="1"/>
      <c r="E7" s="63" t="str">
        <f>RIIO_2_start_date-1&amp;"/"&amp;RIGHT(RIIO_2_start_date,2)</f>
        <v>2021/22</v>
      </c>
      <c r="F7" s="63" t="str">
        <f>RIIO_2_start_date&amp;"/"&amp;RIGHT(RIIO_2_start_date+1,2)</f>
        <v>2022/23</v>
      </c>
      <c r="G7" s="63" t="str">
        <f>RIIO_2_start_date+1&amp;"/"&amp;RIGHT(RIIO_2_start_date+2,2)</f>
        <v>2023/24</v>
      </c>
      <c r="H7" s="63" t="str">
        <f>RIIO_2_start_date+2&amp;"/"&amp;RIGHT(RIIO_2_start_date+3,2)</f>
        <v>2024/25</v>
      </c>
      <c r="I7" s="807" t="str">
        <f>RIIO_2_start_date+3&amp;"/"&amp;RIGHT(RIIO_2_start_date+4,2)</f>
        <v>2025/26</v>
      </c>
      <c r="L7" s="67"/>
    </row>
    <row r="8" spans="1:18" s="2" customFormat="1">
      <c r="D8" s="1"/>
      <c r="E8" s="1"/>
      <c r="F8" s="1"/>
      <c r="G8" s="1"/>
      <c r="H8" s="1"/>
      <c r="I8" s="1"/>
      <c r="J8" s="1"/>
      <c r="K8" s="1"/>
      <c r="L8" s="1"/>
      <c r="M8" s="1"/>
      <c r="N8" s="1"/>
      <c r="O8" s="1"/>
      <c r="P8" s="1"/>
      <c r="Q8" s="1"/>
      <c r="R8" s="1"/>
    </row>
    <row r="9" spans="1:18" s="2" customFormat="1">
      <c r="B9" s="1014" t="s">
        <v>1564</v>
      </c>
      <c r="C9" s="1014"/>
      <c r="K9" s="1"/>
      <c r="L9" s="67"/>
    </row>
    <row r="10" spans="1:18" s="2" customFormat="1">
      <c r="K10" s="1"/>
    </row>
    <row r="11" spans="1:18" s="2" customFormat="1">
      <c r="B11" s="367"/>
      <c r="C11" s="367"/>
      <c r="D11" s="367"/>
      <c r="E11" s="367"/>
      <c r="F11" s="367"/>
      <c r="G11" s="367"/>
      <c r="H11" s="367"/>
      <c r="I11" s="367"/>
      <c r="J11" s="367"/>
      <c r="K11" s="1"/>
      <c r="L11" s="67"/>
    </row>
    <row r="12" spans="1:18" s="2" customFormat="1">
      <c r="B12" t="s">
        <v>1565</v>
      </c>
      <c r="C12"/>
      <c r="D12" s="95" t="str">
        <f>Data!$C$9</f>
        <v>£m 18/19</v>
      </c>
      <c r="E12" s="684">
        <v>14162.130104337097</v>
      </c>
      <c r="F12" s="684">
        <v>14580.938570849483</v>
      </c>
      <c r="G12" s="684">
        <v>14982.71717413359</v>
      </c>
      <c r="H12" s="684">
        <v>15305.074684998714</v>
      </c>
      <c r="I12" s="684">
        <v>15725.161295859381</v>
      </c>
      <c r="K12" s="1"/>
      <c r="L12" s="67"/>
    </row>
    <row r="13" spans="1:18" s="2" customFormat="1">
      <c r="K13" s="1"/>
      <c r="L13" s="67"/>
    </row>
    <row r="14" spans="1:18" s="2" customFormat="1">
      <c r="B14" s="367"/>
      <c r="C14" s="367"/>
      <c r="D14" s="1"/>
      <c r="E14" s="1"/>
      <c r="F14" s="1"/>
      <c r="G14" s="1"/>
      <c r="H14" s="1"/>
      <c r="I14" s="1"/>
      <c r="K14" s="1"/>
      <c r="L14" s="67"/>
    </row>
    <row r="15" spans="1:18" s="2" customFormat="1">
      <c r="B15" s="2" t="s">
        <v>1566</v>
      </c>
      <c r="D15" s="95" t="str">
        <f>Data!$C$9</f>
        <v>£m 18/19</v>
      </c>
      <c r="E15" s="684">
        <v>13925.378291345694</v>
      </c>
      <c r="F15" s="1231">
        <f>E24</f>
        <v>14157.810916018328</v>
      </c>
      <c r="G15" s="1231">
        <f t="shared" ref="G15:I15" si="2">F24</f>
        <v>14676.787327598608</v>
      </c>
      <c r="H15" s="1231">
        <f t="shared" si="2"/>
        <v>15122.117581884058</v>
      </c>
      <c r="I15" s="1231">
        <f t="shared" si="2"/>
        <v>15472.197704734312</v>
      </c>
      <c r="K15" s="1"/>
      <c r="L15" s="67"/>
    </row>
    <row r="16" spans="1:18" s="2" customFormat="1">
      <c r="B16" s="2" t="s">
        <v>1567</v>
      </c>
      <c r="D16" s="95" t="str">
        <f>Data!$C$9</f>
        <v>£m 18/19</v>
      </c>
      <c r="E16" s="684">
        <v>0</v>
      </c>
      <c r="F16" s="684">
        <v>0</v>
      </c>
      <c r="G16" s="684">
        <v>0</v>
      </c>
      <c r="H16" s="684">
        <v>0</v>
      </c>
      <c r="I16" s="684">
        <v>0</v>
      </c>
      <c r="K16" s="1"/>
      <c r="L16" s="67"/>
    </row>
    <row r="17" spans="1:16" s="2" customFormat="1">
      <c r="B17" s="5" t="s">
        <v>1568</v>
      </c>
      <c r="C17" s="5"/>
      <c r="D17" s="95" t="str">
        <f>Data!$C$9</f>
        <v>£m 18/19</v>
      </c>
      <c r="E17" s="818">
        <f>SUM(E15:E16)</f>
        <v>13925.378291345694</v>
      </c>
      <c r="F17" s="819">
        <f t="shared" ref="F17:I17" si="3">SUM(F15:F16)</f>
        <v>14157.810916018328</v>
      </c>
      <c r="G17" s="819">
        <f t="shared" si="3"/>
        <v>14676.787327598608</v>
      </c>
      <c r="H17" s="819">
        <f t="shared" si="3"/>
        <v>15122.117581884058</v>
      </c>
      <c r="I17" s="819">
        <f t="shared" si="3"/>
        <v>15472.197704734312</v>
      </c>
      <c r="K17" s="1"/>
      <c r="L17" s="67"/>
    </row>
    <row r="18" spans="1:16" s="2" customFormat="1">
      <c r="B18" s="674" t="s">
        <v>1569</v>
      </c>
      <c r="C18" s="674"/>
      <c r="D18" s="95" t="str">
        <f>Data!$C$9</f>
        <v>£m 18/19</v>
      </c>
      <c r="E18" s="684">
        <v>1102.5035196566193</v>
      </c>
      <c r="F18" s="684">
        <v>1282.2935692323902</v>
      </c>
      <c r="G18" s="684">
        <v>1268.9351730355465</v>
      </c>
      <c r="H18" s="684">
        <v>1192.5131969015843</v>
      </c>
      <c r="I18" s="684">
        <v>1285.1687002642716</v>
      </c>
      <c r="K18" s="1"/>
      <c r="L18" s="67"/>
    </row>
    <row r="19" spans="1:16" s="2" customFormat="1">
      <c r="B19" s="674" t="s">
        <v>1570</v>
      </c>
      <c r="C19" s="674"/>
      <c r="D19" s="95" t="str">
        <f>Data!$C$9</f>
        <v>£m 18/19</v>
      </c>
      <c r="E19" s="1051">
        <v>-4.319188318768056</v>
      </c>
      <c r="F19" s="1051">
        <v>100.07196310525637</v>
      </c>
      <c r="G19" s="1051">
        <v>45.6794904410458</v>
      </c>
      <c r="H19" s="1051">
        <v>30.865551212405535</v>
      </c>
      <c r="I19" s="1051">
        <v>31.56785903465493</v>
      </c>
      <c r="K19" s="1"/>
      <c r="L19" s="67"/>
    </row>
    <row r="20" spans="1:16" s="2" customFormat="1">
      <c r="B20" s="1061" t="s">
        <v>1571</v>
      </c>
      <c r="C20" s="1061"/>
      <c r="D20" s="95" t="str">
        <f>Data!$C$9</f>
        <v>£m 18/19</v>
      </c>
      <c r="E20" s="1064">
        <f>SUM(E18:E19)</f>
        <v>1098.1843313378513</v>
      </c>
      <c r="F20" s="1064">
        <f t="shared" ref="F20:I20" si="4">SUM(F18:F19)</f>
        <v>1382.3655323376465</v>
      </c>
      <c r="G20" s="1064">
        <f t="shared" si="4"/>
        <v>1314.6146634765923</v>
      </c>
      <c r="H20" s="1064">
        <f t="shared" si="4"/>
        <v>1223.3787481139898</v>
      </c>
      <c r="I20" s="1064">
        <f t="shared" si="4"/>
        <v>1316.7365592989265</v>
      </c>
      <c r="K20" s="1"/>
      <c r="L20" s="67"/>
    </row>
    <row r="21" spans="1:16" s="2" customFormat="1">
      <c r="B21" s="674" t="s">
        <v>1572</v>
      </c>
      <c r="C21" s="674"/>
      <c r="D21" s="95" t="str">
        <f>Data!$C$9</f>
        <v>£m 18/19</v>
      </c>
      <c r="E21" s="684">
        <v>-865.75170666521615</v>
      </c>
      <c r="F21" s="684">
        <v>-863.48510272000544</v>
      </c>
      <c r="G21" s="684">
        <v>-867.15656975144111</v>
      </c>
      <c r="H21" s="684">
        <v>-870.15568603645784</v>
      </c>
      <c r="I21" s="684">
        <v>-865.08208940360544</v>
      </c>
      <c r="K21" s="1"/>
      <c r="L21" s="67"/>
    </row>
    <row r="22" spans="1:16" s="2" customFormat="1">
      <c r="B22" s="674" t="s">
        <v>1573</v>
      </c>
      <c r="C22" s="674"/>
      <c r="D22" s="95" t="str">
        <f>Data!$C$9</f>
        <v>£m 18/19</v>
      </c>
      <c r="E22" s="1052">
        <v>0</v>
      </c>
      <c r="F22" s="1052">
        <v>9.598196263925729E-2</v>
      </c>
      <c r="G22" s="1052">
        <v>-2.1278394396998692</v>
      </c>
      <c r="H22" s="1052">
        <v>-3.1429392272787027</v>
      </c>
      <c r="I22" s="1052">
        <v>-3.8288403653322121</v>
      </c>
      <c r="K22" s="1"/>
      <c r="L22" s="67"/>
    </row>
    <row r="23" spans="1:16" s="2" customFormat="1">
      <c r="B23" s="362" t="s">
        <v>1574</v>
      </c>
      <c r="C23" s="362"/>
      <c r="D23" s="95" t="str">
        <f>Data!$C$9</f>
        <v>£m 18/19</v>
      </c>
      <c r="E23" s="797">
        <f>SUM(E21:E22)</f>
        <v>-865.75170666521615</v>
      </c>
      <c r="F23" s="797">
        <f t="shared" ref="F23:I23" si="5">SUM(F21:F22)</f>
        <v>-863.38912075736619</v>
      </c>
      <c r="G23" s="797">
        <f t="shared" si="5"/>
        <v>-869.28440919114098</v>
      </c>
      <c r="H23" s="797">
        <f t="shared" si="5"/>
        <v>-873.29862526373654</v>
      </c>
      <c r="I23" s="797">
        <f t="shared" si="5"/>
        <v>-868.91092976893765</v>
      </c>
      <c r="K23" s="1"/>
      <c r="L23" s="67"/>
    </row>
    <row r="24" spans="1:16" s="2" customFormat="1">
      <c r="B24" s="5" t="s">
        <v>1575</v>
      </c>
      <c r="C24" s="5"/>
      <c r="D24" s="95" t="str">
        <f>Data!$C$9</f>
        <v>£m 18/19</v>
      </c>
      <c r="E24" s="460">
        <f>E17+E20+E23</f>
        <v>14157.810916018328</v>
      </c>
      <c r="F24" s="460">
        <f t="shared" ref="F24:I24" si="6">F17+F20+F23</f>
        <v>14676.787327598608</v>
      </c>
      <c r="G24" s="460">
        <f t="shared" si="6"/>
        <v>15122.117581884058</v>
      </c>
      <c r="H24" s="460">
        <f t="shared" si="6"/>
        <v>15472.197704734312</v>
      </c>
      <c r="I24" s="460">
        <f t="shared" si="6"/>
        <v>15920.023334264302</v>
      </c>
      <c r="K24" s="1"/>
      <c r="L24" s="67"/>
    </row>
    <row r="25" spans="1:16" s="2" customFormat="1">
      <c r="B25" s="5"/>
      <c r="C25" s="5"/>
      <c r="D25" s="95"/>
      <c r="E25" s="95"/>
      <c r="F25" s="95"/>
      <c r="G25" s="95"/>
      <c r="H25" s="95"/>
      <c r="I25" s="95"/>
      <c r="J25" s="95"/>
      <c r="K25" s="1"/>
      <c r="L25" s="95"/>
      <c r="M25" s="95"/>
    </row>
    <row r="26" spans="1:16" s="2" customFormat="1">
      <c r="B26" s="5" t="s">
        <v>1576</v>
      </c>
      <c r="C26" s="95"/>
      <c r="D26" s="697"/>
      <c r="E26" s="460">
        <f>E19+E22</f>
        <v>-4.319188318768056</v>
      </c>
      <c r="F26" s="1108">
        <f>F19+F22</f>
        <v>100.16794506789563</v>
      </c>
      <c r="G26" s="1108">
        <f t="shared" ref="G26:I26" si="7">G19+G22</f>
        <v>43.551651001345931</v>
      </c>
      <c r="H26" s="1108">
        <f t="shared" si="7"/>
        <v>27.722611985126832</v>
      </c>
      <c r="I26" s="1109">
        <f t="shared" si="7"/>
        <v>27.739018669322718</v>
      </c>
      <c r="J26" s="95"/>
      <c r="K26" s="1"/>
      <c r="L26" s="95"/>
      <c r="M26" s="95"/>
    </row>
    <row r="27" spans="1:16" s="2" customFormat="1">
      <c r="B27" s="5" t="s">
        <v>1577</v>
      </c>
      <c r="C27" s="95"/>
      <c r="D27" s="1107"/>
      <c r="E27" s="1110" t="str">
        <f>IF(E5="Actuals",IF(ABS((E24-SUM($E26:E$26))-E12)&lt;0.1,"TRUE","FALSE"),"NA")</f>
        <v>TRUE</v>
      </c>
      <c r="F27" s="1111" t="str">
        <f>IF(F5="Actuals",IF(ABS((F24-SUM($E26:F$26))-F12)&lt;0.1,"TRUE","FALSE"),"NA")</f>
        <v>NA</v>
      </c>
      <c r="G27" s="1111" t="str">
        <f>IF(G5="Actuals",IF(ABS((G24-SUM($E26:G$26))-G12)&lt;0.1,"TRUE","FALSE"),"NA")</f>
        <v>NA</v>
      </c>
      <c r="H27" s="1111" t="str">
        <f>IF(H5="Actuals",IF(ABS((H24-SUM($E26:H$26))-H12)&lt;0.1,"TRUE","FALSE"),"NA")</f>
        <v>NA</v>
      </c>
      <c r="I27" s="1112" t="str">
        <f>IF(I5="Actuals",IF(ABS((I24-SUM($E26:I$26))-I12)&lt;0.1,"TRUE","FALSE"),"NA")</f>
        <v>NA</v>
      </c>
      <c r="J27" s="95"/>
      <c r="K27" s="1230"/>
      <c r="L27" s="1230"/>
      <c r="M27" s="1230"/>
      <c r="N27" s="1230"/>
      <c r="O27" s="1230"/>
      <c r="P27" s="1230"/>
    </row>
    <row r="28" spans="1:16" s="2" customFormat="1">
      <c r="B28" s="5"/>
      <c r="C28" s="5"/>
      <c r="D28" s="95"/>
      <c r="E28" s="95"/>
      <c r="F28" s="95"/>
      <c r="G28" s="95"/>
      <c r="H28" s="95"/>
      <c r="I28" s="95"/>
      <c r="J28" s="95"/>
      <c r="K28" s="1"/>
      <c r="L28" s="95"/>
      <c r="M28" s="95"/>
    </row>
    <row r="29" spans="1:16" s="2" customFormat="1">
      <c r="B29" s="5"/>
      <c r="C29" s="5"/>
      <c r="D29" s="95"/>
      <c r="E29" s="697"/>
      <c r="F29" s="95"/>
      <c r="G29" s="697"/>
      <c r="H29" s="697"/>
      <c r="I29" s="697"/>
      <c r="J29" s="95"/>
      <c r="K29" s="1"/>
      <c r="L29" s="95"/>
      <c r="M29" s="95"/>
    </row>
    <row r="30" spans="1:16" s="2" customFormat="1">
      <c r="A30"/>
      <c r="B30" s="2" t="s">
        <v>1578</v>
      </c>
      <c r="D30" s="91" t="s">
        <v>1579</v>
      </c>
      <c r="E30" s="1047">
        <f>INDEX(Data!C17:N17,MATCH(RIIO_2_start_date-1,Data!C15:N15,0))/IF(Sector="ED2",Data!$E$16,Data!$C$16)</f>
        <v>1.0533528227824487</v>
      </c>
      <c r="F30" s="95"/>
      <c r="G30" s="697"/>
      <c r="H30" s="697"/>
      <c r="I30" s="915"/>
      <c r="J30" s="917"/>
      <c r="K30" s="1"/>
      <c r="L30" s="95"/>
      <c r="M30" s="95"/>
    </row>
    <row r="31" spans="1:16" s="2" customFormat="1">
      <c r="B31" s="5"/>
      <c r="C31" s="5"/>
      <c r="D31" s="95"/>
      <c r="E31" s="396"/>
      <c r="F31" s="396"/>
      <c r="G31" s="396"/>
      <c r="H31" s="396"/>
      <c r="I31" s="396"/>
      <c r="J31" s="95"/>
      <c r="K31" s="1"/>
      <c r="L31" s="95"/>
      <c r="M31" s="95"/>
    </row>
    <row r="32" spans="1:16" s="2" customFormat="1">
      <c r="B32" s="5" t="s">
        <v>1575</v>
      </c>
      <c r="C32" s="5"/>
      <c r="D32" s="76" t="s">
        <v>261</v>
      </c>
      <c r="E32" s="1053">
        <f>E24*Combined_real_to_nominal_prices_conversion_factor__financial_year_end</f>
        <v>15987.240481416176</v>
      </c>
      <c r="F32" s="1053">
        <f>F24*Combined_real_to_nominal_prices_conversion_factor__financial_year_end</f>
        <v>17500.824789066031</v>
      </c>
      <c r="G32" s="1053">
        <f>G24*Combined_real_to_nominal_prices_conversion_factor__financial_year_end</f>
        <v>18401.893306444759</v>
      </c>
      <c r="H32" s="1053">
        <f>H24*Combined_real_to_nominal_prices_conversion_factor__financial_year_end</f>
        <v>19168.313012853607</v>
      </c>
      <c r="I32" s="1053">
        <f>I24*Combined_real_to_nominal_prices_conversion_factor__financial_year_end</f>
        <v>20096.051612813219</v>
      </c>
      <c r="K32" s="1"/>
      <c r="L32" s="95"/>
      <c r="M32" s="95"/>
    </row>
    <row r="33" spans="1:13" s="2" customFormat="1">
      <c r="B33" s="5"/>
      <c r="C33" s="5"/>
      <c r="D33" s="95"/>
      <c r="E33" s="95"/>
      <c r="F33" s="95"/>
      <c r="G33" s="95"/>
      <c r="H33" s="95"/>
      <c r="I33" s="95"/>
      <c r="J33" s="95"/>
      <c r="K33" s="1"/>
      <c r="L33" s="95"/>
      <c r="M33" s="95"/>
    </row>
    <row r="34" spans="1:13" s="2" customFormat="1">
      <c r="B34" s="67" t="s">
        <v>1580</v>
      </c>
      <c r="C34" s="67"/>
      <c r="D34" s="95" t="s">
        <v>1581</v>
      </c>
      <c r="E34" s="365">
        <f>INDEX(Data!$H$55:$P$83,MATCH('RFPR cover'!$C$7,Data!$B$55:$B$83,0),MATCH('R7 - RAV'!E$6,Data!$H$54:$P$54,0))</f>
        <v>2.0500000000000001E-2</v>
      </c>
      <c r="F34" s="365">
        <f>INDEX(Data!$H$55:$P$83,MATCH('RFPR cover'!$C$7,Data!$B$55:$B$83,0),MATCH('R7 - RAV'!F$6,Data!$H$54:$P$54,0))</f>
        <v>1.9E-2</v>
      </c>
      <c r="G34" s="365">
        <f>INDEX(Data!$H$55:$P$83,MATCH('RFPR cover'!$C$7,Data!$B$55:$B$83,0),MATCH('R7 - RAV'!G$6,Data!$H$54:$P$54,0))</f>
        <v>1.83E-2</v>
      </c>
      <c r="H34" s="365">
        <f>INDEX(Data!$H$55:$P$83,MATCH('RFPR cover'!$C$7,Data!$B$55:$B$83,0),MATCH('R7 - RAV'!H$6,Data!$H$54:$P$54,0))</f>
        <v>1.78E-2</v>
      </c>
      <c r="I34" s="365">
        <f>INDEX(Data!$H$55:$P$83,MATCH('RFPR cover'!$C$7,Data!$B$55:$B$83,0),MATCH('R7 - RAV'!I$6,Data!$H$54:$P$54,0))</f>
        <v>1.7500000000000002E-2</v>
      </c>
      <c r="J34" s="95"/>
      <c r="K34" s="1"/>
      <c r="L34" s="95"/>
      <c r="M34" s="95"/>
    </row>
    <row r="35" spans="1:13" s="2" customFormat="1">
      <c r="B35" s="67" t="s">
        <v>1582</v>
      </c>
      <c r="C35" s="67"/>
      <c r="D35" s="95" t="s">
        <v>1581</v>
      </c>
      <c r="E35" s="898">
        <f>INDEX(Data!$O$55:$U$83,MATCH('RFPR cover'!$C$7,Data!$B$55:$B$83,0),MATCH('R7 - RAV'!E$6,Data!$O$54:$U$54,0))</f>
        <v>4.2439449777777784E-2</v>
      </c>
      <c r="F35" s="898">
        <f>INDEX(Data!$O$55:$U$83,MATCH('RFPR cover'!$C$7,Data!$B$55:$B$83,0),MATCH('R7 - RAV'!F$6,Data!$O$54:$U$54,0))</f>
        <v>4.2616093333333334E-2</v>
      </c>
      <c r="G35" s="898">
        <f>INDEX(Data!$O$55:$U$83,MATCH('RFPR cover'!$C$7,Data!$B$55:$B$83,0),MATCH('R7 - RAV'!G$6,Data!$O$54:$U$54,0))</f>
        <v>4.2388117333333329E-2</v>
      </c>
      <c r="H35" s="898">
        <f>INDEX(Data!$O$55:$U$83,MATCH('RFPR cover'!$C$7,Data!$B$55:$B$83,0),MATCH('R7 - RAV'!H$6,Data!$O$54:$U$54,0))</f>
        <v>4.2547130666666676E-2</v>
      </c>
      <c r="I35" s="898">
        <f>INDEX(Data!$O$55:$U$83,MATCH('RFPR cover'!$C$7,Data!$B$55:$B$83,0),MATCH('R7 - RAV'!I$6,Data!$O$54:$U$54,0))</f>
        <v>4.2685452444444452E-2</v>
      </c>
      <c r="J35" s="95"/>
      <c r="K35" s="1"/>
      <c r="L35" s="95"/>
      <c r="M35" s="95"/>
    </row>
    <row r="36" spans="1:13">
      <c r="A36" s="2"/>
      <c r="B36" s="67" t="s">
        <v>1583</v>
      </c>
      <c r="C36" s="67"/>
      <c r="D36" s="95" t="s">
        <v>225</v>
      </c>
      <c r="E36" s="366">
        <f t="shared" ref="E36:I36" si="8">Notional_Gearing</f>
        <v>0.55000000000000004</v>
      </c>
      <c r="F36" s="366">
        <f t="shared" si="8"/>
        <v>0.55000000000000004</v>
      </c>
      <c r="G36" s="366">
        <f t="shared" si="8"/>
        <v>0.55000000000000004</v>
      </c>
      <c r="H36" s="366">
        <f t="shared" si="8"/>
        <v>0.55000000000000004</v>
      </c>
      <c r="I36" s="366">
        <f t="shared" si="8"/>
        <v>0.55000000000000004</v>
      </c>
      <c r="J36" s="95"/>
      <c r="K36" s="1"/>
      <c r="L36" s="95"/>
      <c r="M36" s="95"/>
    </row>
    <row r="37" spans="1:13">
      <c r="B37" t="s">
        <v>1584</v>
      </c>
      <c r="D37" s="95" t="s">
        <v>1581</v>
      </c>
      <c r="E37" s="363">
        <f>E34*E36+E35*(1-E36)</f>
        <v>3.0372752400000001E-2</v>
      </c>
      <c r="F37" s="364">
        <f t="shared" ref="F37:I37" si="9">F34*F36+F35*(1-F36)</f>
        <v>2.9627241999999998E-2</v>
      </c>
      <c r="G37" s="364">
        <f t="shared" si="9"/>
        <v>2.9139652799999999E-2</v>
      </c>
      <c r="H37" s="364">
        <f t="shared" si="9"/>
        <v>2.8936208800000002E-2</v>
      </c>
      <c r="I37" s="364">
        <f t="shared" si="9"/>
        <v>2.8833453600000003E-2</v>
      </c>
      <c r="J37" s="95"/>
      <c r="K37" s="1"/>
      <c r="L37" s="95"/>
      <c r="M37" s="95"/>
    </row>
    <row r="38" spans="1:13" s="2" customFormat="1">
      <c r="A38"/>
      <c r="B38"/>
      <c r="C38"/>
      <c r="D38" s="103"/>
      <c r="E38" s="100"/>
      <c r="F38" s="100"/>
      <c r="G38" s="100"/>
      <c r="H38" s="100"/>
      <c r="I38" s="100"/>
      <c r="J38" s="95"/>
      <c r="K38" s="1"/>
      <c r="L38" s="95"/>
      <c r="M38" s="95"/>
    </row>
    <row r="39" spans="1:13" s="2" customFormat="1">
      <c r="A39"/>
      <c r="B39" s="89" t="s">
        <v>1585</v>
      </c>
      <c r="C39" s="89"/>
      <c r="D39" s="95" t="str">
        <f>Data!$C$9</f>
        <v>£m 18/19</v>
      </c>
      <c r="E39" s="47">
        <f>E41*E36</f>
        <v>7608.1096206867587</v>
      </c>
      <c r="F39" s="48">
        <f t="shared" ref="F39:I39" si="10">F41*F36</f>
        <v>7813.3763692699722</v>
      </c>
      <c r="G39" s="48">
        <f t="shared" si="10"/>
        <v>8076.9503549905303</v>
      </c>
      <c r="H39" s="48">
        <f t="shared" si="10"/>
        <v>8293.7797674849662</v>
      </c>
      <c r="I39" s="48">
        <f t="shared" si="10"/>
        <v>8510.1654705196761</v>
      </c>
      <c r="J39" s="95"/>
      <c r="K39" s="1"/>
      <c r="L39" s="95"/>
      <c r="M39" s="95"/>
    </row>
    <row r="40" spans="1:13" s="2" customFormat="1">
      <c r="A40"/>
      <c r="B40" s="89" t="s">
        <v>1586</v>
      </c>
      <c r="C40" s="89"/>
      <c r="D40" s="95" t="str">
        <f>Data!$C$9</f>
        <v>£m 18/19</v>
      </c>
      <c r="E40" s="403">
        <f t="shared" ref="E40:I40" si="11">E41*(1-E36)</f>
        <v>6224.816962380075</v>
      </c>
      <c r="F40" s="404">
        <f t="shared" si="11"/>
        <v>6392.7624839481578</v>
      </c>
      <c r="G40" s="404">
        <f t="shared" si="11"/>
        <v>6608.4139268104327</v>
      </c>
      <c r="H40" s="404">
        <f t="shared" si="11"/>
        <v>6785.8198097604263</v>
      </c>
      <c r="I40" s="404">
        <f t="shared" si="11"/>
        <v>6962.8626576979159</v>
      </c>
      <c r="J40" s="95"/>
      <c r="K40" s="1"/>
      <c r="L40" s="95"/>
      <c r="M40" s="95"/>
    </row>
    <row r="41" spans="1:13" s="2" customFormat="1">
      <c r="A41"/>
      <c r="B41" t="s">
        <v>1587</v>
      </c>
      <c r="C41"/>
      <c r="D41" s="95" t="str">
        <f>Data!$C$9</f>
        <v>£m 18/19</v>
      </c>
      <c r="E41" s="51">
        <f>AVERAGE(E15,E24*(1/(1+E37)))</f>
        <v>13832.926583066834</v>
      </c>
      <c r="F41" s="52">
        <f>AVERAGE(F15,F24*(1/(1+F37)))</f>
        <v>14206.13885321813</v>
      </c>
      <c r="G41" s="52">
        <f>AVERAGE(G15,G24*(1/(1+G37)))</f>
        <v>14685.364281800963</v>
      </c>
      <c r="H41" s="52">
        <f>AVERAGE(H15,H24*(1/(1+H37)))</f>
        <v>15079.599577245393</v>
      </c>
      <c r="I41" s="52">
        <f>AVERAGE(I15,I24*(1/(1+I37)))</f>
        <v>15473.028128217593</v>
      </c>
      <c r="J41" s="95"/>
      <c r="K41" s="1"/>
      <c r="L41" s="95"/>
      <c r="M41" s="95"/>
    </row>
    <row r="42" spans="1:13" s="2" customFormat="1">
      <c r="A42"/>
      <c r="B42"/>
      <c r="C42"/>
      <c r="D42" s="95"/>
      <c r="E42" s="95"/>
      <c r="F42" s="95"/>
      <c r="G42" s="95"/>
      <c r="H42" s="95"/>
      <c r="I42" s="95"/>
      <c r="J42" s="95"/>
      <c r="K42" s="1"/>
      <c r="L42" s="95"/>
      <c r="M42" s="95"/>
    </row>
    <row r="43" spans="1:13" s="2" customFormat="1">
      <c r="A43"/>
      <c r="B43" s="89" t="s">
        <v>1588</v>
      </c>
      <c r="C43" s="89"/>
      <c r="D43" s="95" t="str">
        <f>Data!$C$9</f>
        <v>£m 18/19</v>
      </c>
      <c r="E43" s="798">
        <f>E34*E39</f>
        <v>155.96624722407856</v>
      </c>
      <c r="F43" s="799">
        <f t="shared" ref="E43:I44" si="12">F34*F39</f>
        <v>148.45415101612946</v>
      </c>
      <c r="G43" s="799">
        <f t="shared" si="12"/>
        <v>147.80819149632671</v>
      </c>
      <c r="H43" s="799">
        <f t="shared" si="12"/>
        <v>147.62927986123239</v>
      </c>
      <c r="I43" s="799">
        <f t="shared" si="12"/>
        <v>148.92789573409434</v>
      </c>
      <c r="J43" s="95"/>
      <c r="K43" s="1"/>
      <c r="L43" s="95"/>
      <c r="M43" s="95"/>
    </row>
    <row r="44" spans="1:13">
      <c r="B44" s="89" t="s">
        <v>1589</v>
      </c>
      <c r="C44" s="89"/>
      <c r="D44" s="95" t="str">
        <f>Data!$C$9</f>
        <v>£m 18/19</v>
      </c>
      <c r="E44" s="44">
        <f t="shared" si="12"/>
        <v>264.17780685078844</v>
      </c>
      <c r="F44" s="45">
        <f t="shared" si="12"/>
        <v>272.43456267376655</v>
      </c>
      <c r="G44" s="45">
        <f t="shared" si="12"/>
        <v>280.11822491687468</v>
      </c>
      <c r="H44" s="45">
        <f t="shared" si="12"/>
        <v>288.71716212633208</v>
      </c>
      <c r="I44" s="45">
        <f t="shared" si="12"/>
        <v>297.21294285236252</v>
      </c>
      <c r="J44" s="95"/>
      <c r="K44" s="1"/>
      <c r="L44" s="95"/>
      <c r="M44" s="95"/>
    </row>
    <row r="45" spans="1:13">
      <c r="B45" t="s">
        <v>1590</v>
      </c>
      <c r="D45" s="95" t="str">
        <f>Data!$C$9</f>
        <v>£m 18/19</v>
      </c>
      <c r="E45" s="51">
        <f>SUM(E43:E44)</f>
        <v>420.14405407486697</v>
      </c>
      <c r="F45" s="52">
        <f t="shared" ref="F45:I45" si="13">SUM(F43:F44)</f>
        <v>420.88871368989601</v>
      </c>
      <c r="G45" s="52">
        <f t="shared" si="13"/>
        <v>427.92641641320142</v>
      </c>
      <c r="H45" s="52">
        <f t="shared" si="13"/>
        <v>436.3464419875645</v>
      </c>
      <c r="I45" s="52">
        <f t="shared" si="13"/>
        <v>446.14083858645688</v>
      </c>
      <c r="J45" s="95"/>
      <c r="K45" s="1"/>
      <c r="L45" s="95"/>
      <c r="M45" s="95"/>
    </row>
    <row r="46" spans="1:13">
      <c r="J46" s="95"/>
      <c r="K46" s="1"/>
      <c r="L46" s="95"/>
      <c r="M46" s="95"/>
    </row>
    <row r="47" spans="1:13">
      <c r="B47" s="89"/>
      <c r="C47" s="89"/>
      <c r="D47" s="76"/>
      <c r="E47" s="508"/>
      <c r="F47" s="508"/>
      <c r="G47" s="508"/>
      <c r="H47" s="508"/>
      <c r="I47" s="508"/>
      <c r="J47" s="95"/>
      <c r="K47" s="1"/>
      <c r="L47" s="95"/>
      <c r="M47" s="95"/>
    </row>
    <row r="48" spans="1:13">
      <c r="B48" s="89"/>
      <c r="C48" s="89"/>
      <c r="D48" s="76"/>
      <c r="E48" s="508"/>
      <c r="F48" s="508"/>
      <c r="G48" s="508"/>
      <c r="H48" s="508"/>
      <c r="I48" s="508"/>
      <c r="J48" s="95"/>
      <c r="K48" s="1"/>
      <c r="L48" s="95"/>
      <c r="M48" s="95"/>
    </row>
    <row r="49" spans="2:13">
      <c r="D49" s="76"/>
      <c r="E49" s="462"/>
      <c r="F49" s="462"/>
      <c r="G49" s="462"/>
      <c r="H49" s="462"/>
      <c r="I49" s="462"/>
      <c r="J49" s="95"/>
      <c r="K49" s="1"/>
      <c r="L49" s="95"/>
      <c r="M49" s="95"/>
    </row>
    <row r="50" spans="2:13">
      <c r="D50" s="95"/>
      <c r="E50" s="95"/>
      <c r="F50" s="95"/>
      <c r="G50" s="95"/>
      <c r="H50" s="95"/>
      <c r="I50" s="95"/>
      <c r="J50" s="95"/>
      <c r="K50" s="1"/>
      <c r="L50" s="95"/>
      <c r="M50" s="95"/>
    </row>
    <row r="54" spans="2:13">
      <c r="D54"/>
      <c r="L54"/>
    </row>
    <row r="55" spans="2:13">
      <c r="D55"/>
      <c r="L55"/>
    </row>
    <row r="56" spans="2:13">
      <c r="B56" s="89"/>
      <c r="C56" s="89"/>
      <c r="D56" s="76"/>
      <c r="E56" s="508"/>
      <c r="F56" s="508"/>
      <c r="G56" s="508"/>
      <c r="H56" s="508"/>
      <c r="I56" s="508"/>
      <c r="J56" s="6"/>
    </row>
    <row r="57" spans="2:13">
      <c r="B57" s="89"/>
      <c r="C57" s="89"/>
      <c r="D57" s="76"/>
      <c r="E57" s="462"/>
      <c r="F57" s="462"/>
      <c r="G57" s="462"/>
      <c r="H57" s="462"/>
      <c r="I57" s="462"/>
    </row>
    <row r="58" spans="2:13">
      <c r="D58" s="76"/>
      <c r="E58" s="508"/>
      <c r="F58" s="508"/>
      <c r="G58" s="508"/>
      <c r="H58" s="508"/>
      <c r="I58" s="508"/>
    </row>
    <row r="59" spans="2:13">
      <c r="B59" s="6"/>
      <c r="C59" s="6"/>
      <c r="D59" s="110"/>
      <c r="E59" s="110"/>
      <c r="F59" s="110"/>
      <c r="G59" s="110"/>
      <c r="H59" s="110"/>
      <c r="I59" s="110"/>
    </row>
    <row r="60" spans="2:13">
      <c r="B60" s="6"/>
      <c r="C60" s="6"/>
      <c r="D60" s="110"/>
      <c r="E60" s="110"/>
      <c r="F60" s="110"/>
      <c r="G60" s="110"/>
      <c r="H60" s="110"/>
      <c r="I60" s="110"/>
    </row>
    <row r="61" spans="2:13">
      <c r="B61" s="6"/>
      <c r="C61" s="6"/>
      <c r="D61" s="110"/>
      <c r="E61" s="110"/>
      <c r="F61" s="110"/>
      <c r="G61" s="110"/>
      <c r="H61" s="110"/>
      <c r="I61" s="110"/>
    </row>
    <row r="64" spans="2:13">
      <c r="B64" s="6"/>
      <c r="C64" s="6"/>
      <c r="D64" s="110"/>
      <c r="E64" s="110"/>
      <c r="F64" s="110"/>
      <c r="G64" s="110"/>
      <c r="H64" s="110"/>
      <c r="I64" s="110"/>
    </row>
  </sheetData>
  <sheetProtection algorithmName="SHA-512" hashValue="Y0P+M3avDyLEgFmzzBKg04zp+bbgeIbn8nMLywL7GyJWk8EJEVoixxelD/XhkJyWQrJQJRxyw8EiQ+HxLS6odw==" saltValue="yvCHqU/hUEc90Z2bpooYZw==" spinCount="100000" sheet="1" formatCells="0" formatColumns="0" formatRows="0" insertColumns="0" insertRows="0" insertHyperlinks="0" deleteColumns="0" deleteRows="0" sort="0" autoFilter="0" pivotTables="0"/>
  <conditionalFormatting sqref="E5:H6">
    <cfRule type="expression" dxfId="24" priority="15">
      <formula>AND(E$5="Actuals",F$5="Forecast")</formula>
    </cfRule>
  </conditionalFormatting>
  <conditionalFormatting sqref="I5:I6">
    <cfRule type="expression" dxfId="23" priority="256">
      <formula>AND(I$5="Actuals",#REF!="Forecast")</formula>
    </cfRule>
  </conditionalFormatting>
  <conditionalFormatting sqref="E7:I7">
    <cfRule type="expression" dxfId="22"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70" zoomScaleNormal="70" workbookViewId="0">
      <pane ySplit="7" topLeftCell="A56" activePane="bottomLeft" state="frozen"/>
      <selection activeCell="B3" sqref="B3:F3"/>
      <selection pane="bottomLeft" activeCell="G75" sqref="G75"/>
    </sheetView>
  </sheetViews>
  <sheetFormatPr defaultRowHeight="13.5"/>
  <cols>
    <col min="1" max="1" width="8.3828125" customWidth="1"/>
    <col min="2" max="2" width="62.765625" customWidth="1"/>
    <col min="3" max="3" width="5.15234375" customWidth="1"/>
    <col min="4" max="4" width="14.15234375" customWidth="1"/>
    <col min="5" max="9" width="11.15234375" customWidth="1"/>
    <col min="10" max="10" width="7.765625" customWidth="1"/>
  </cols>
  <sheetData>
    <row r="1" spans="1:14" ht="20">
      <c r="A1" s="1170" t="s">
        <v>183</v>
      </c>
      <c r="B1" s="751"/>
      <c r="C1" s="751"/>
      <c r="D1" s="752"/>
      <c r="E1" s="752"/>
      <c r="F1" s="752"/>
      <c r="G1" s="752"/>
      <c r="H1" s="752"/>
      <c r="I1" s="752"/>
      <c r="J1" s="1179"/>
    </row>
    <row r="2" spans="1:14" ht="20">
      <c r="A2" s="644" t="str">
        <f>Licensee</f>
        <v>NGET (TO)</v>
      </c>
      <c r="B2" s="16"/>
      <c r="C2" s="16"/>
      <c r="D2" s="16"/>
      <c r="E2" s="16"/>
      <c r="F2" s="16"/>
      <c r="G2" s="16"/>
      <c r="H2" s="16"/>
      <c r="I2" s="16"/>
      <c r="J2" s="66"/>
    </row>
    <row r="3" spans="1:14" ht="20">
      <c r="A3" s="639">
        <f>Reporting_Year</f>
        <v>2022</v>
      </c>
      <c r="B3" s="963"/>
      <c r="C3" s="963"/>
      <c r="D3" s="963"/>
      <c r="E3" s="996"/>
      <c r="F3" s="996"/>
      <c r="G3" s="996"/>
      <c r="H3" s="996"/>
      <c r="I3" s="996"/>
      <c r="J3" s="120"/>
    </row>
    <row r="4" spans="1:14" ht="12.75" customHeight="1">
      <c r="A4" s="121"/>
      <c r="B4" s="122"/>
      <c r="C4" s="122"/>
      <c r="D4" s="121"/>
      <c r="E4" s="919">
        <f>IF(E5="Actuals",1,0)</f>
        <v>0</v>
      </c>
      <c r="F4" s="919">
        <f t="shared" ref="F4:I4" si="0">IF(F5="Actuals",1,0)</f>
        <v>0</v>
      </c>
      <c r="G4" s="919">
        <f t="shared" si="0"/>
        <v>0</v>
      </c>
      <c r="H4" s="919">
        <f t="shared" si="0"/>
        <v>0</v>
      </c>
      <c r="I4" s="919">
        <f t="shared" si="0"/>
        <v>0</v>
      </c>
      <c r="J4" s="123"/>
      <c r="K4" s="122"/>
    </row>
    <row r="5" spans="1:14" s="2" customFormat="1">
      <c r="B5" s="3"/>
      <c r="C5" s="3"/>
      <c r="D5" s="3"/>
      <c r="E5" s="249" t="str">
        <f>IF(E6+1&lt;=Reporting_Year,"Actuals","Forecast")</f>
        <v>Forecast</v>
      </c>
      <c r="F5" s="249" t="str">
        <f>IF(F6+1&lt;=Reporting_Year,"Actuals","Forecast")</f>
        <v>Forecast</v>
      </c>
      <c r="G5" s="249" t="str">
        <f>IF(G6+1&lt;=Reporting_Year,"Actuals","Forecast")</f>
        <v>Forecast</v>
      </c>
      <c r="H5" s="249" t="str">
        <f>IF(H6+1&lt;=Reporting_Year,"Actuals","Forecast")</f>
        <v>Forecast</v>
      </c>
      <c r="I5" s="249" t="str">
        <f>IF(I6+1&lt;=Reporting_Year,"Actuals","Forecast")</f>
        <v>Forecast</v>
      </c>
    </row>
    <row r="6" spans="1:14" s="2" customFormat="1">
      <c r="E6" s="63">
        <f>'RFPR cover'!$C$6</f>
        <v>2022</v>
      </c>
      <c r="F6" s="64">
        <f>E6+1</f>
        <v>2023</v>
      </c>
      <c r="G6" s="64">
        <f t="shared" ref="G6:I6" si="1">F6+1</f>
        <v>2024</v>
      </c>
      <c r="H6" s="64">
        <f t="shared" si="1"/>
        <v>2025</v>
      </c>
      <c r="I6" s="64">
        <f t="shared" si="1"/>
        <v>2026</v>
      </c>
    </row>
    <row r="7" spans="1:14" s="2" customFormat="1">
      <c r="E7" s="63" t="str">
        <f>RIIO_2_start_date-1&amp;"/"&amp;RIGHT(RIIO_2_start_date,2)</f>
        <v>2021/22</v>
      </c>
      <c r="F7" s="63" t="str">
        <f>RIIO_2_start_date&amp;"/"&amp;RIGHT(RIIO_2_start_date+1,2)</f>
        <v>2022/23</v>
      </c>
      <c r="G7" s="63" t="str">
        <f>RIIO_2_start_date+1&amp;"/"&amp;RIGHT(RIIO_2_start_date+2,2)</f>
        <v>2023/24</v>
      </c>
      <c r="H7" s="63" t="str">
        <f>RIIO_2_start_date+2&amp;"/"&amp;RIGHT(RIIO_2_start_date+3,2)</f>
        <v>2024/25</v>
      </c>
      <c r="I7" s="807" t="str">
        <f>RIIO_2_start_date+3&amp;"/"&amp;RIGHT(RIIO_2_start_date+4,2)</f>
        <v>2025/26</v>
      </c>
    </row>
    <row r="8" spans="1:14" s="2" customFormat="1">
      <c r="B8" s="1035" t="s">
        <v>1591</v>
      </c>
      <c r="C8" s="182"/>
      <c r="D8" s="1033"/>
      <c r="E8" s="1033"/>
      <c r="F8" s="1033"/>
      <c r="G8" s="1033"/>
      <c r="H8" s="1033"/>
      <c r="I8" s="1033"/>
    </row>
    <row r="9" spans="1:14" s="2" customFormat="1" ht="34.5" customHeight="1">
      <c r="B9" s="1462" t="s">
        <v>1592</v>
      </c>
      <c r="C9" s="1462"/>
      <c r="D9" s="1462"/>
      <c r="E9" s="1462"/>
      <c r="F9" s="1462"/>
      <c r="G9" s="1462"/>
      <c r="H9" s="1462"/>
      <c r="I9" s="1462"/>
    </row>
    <row r="10" spans="1:14" s="2" customFormat="1">
      <c r="B10" s="367"/>
      <c r="C10" s="367"/>
    </row>
    <row r="11" spans="1:14" s="2" customFormat="1">
      <c r="B11" s="6" t="s">
        <v>1593</v>
      </c>
      <c r="C11" s="6"/>
      <c r="D11" s="76" t="s">
        <v>261</v>
      </c>
      <c r="E11" s="1017"/>
      <c r="F11" s="1017"/>
      <c r="G11" s="1017"/>
      <c r="H11" s="1017"/>
      <c r="I11" s="1017"/>
      <c r="J11" t="s">
        <v>1594</v>
      </c>
    </row>
    <row r="12" spans="1:14" s="2" customFormat="1">
      <c r="B12" s="1065"/>
      <c r="C12" s="6"/>
      <c r="D12" s="76"/>
      <c r="E12" s="918"/>
      <c r="F12" s="918"/>
      <c r="G12" s="918"/>
      <c r="H12" s="918"/>
      <c r="I12" s="918"/>
      <c r="J12"/>
    </row>
    <row r="13" spans="1:14">
      <c r="B13" s="6" t="s">
        <v>1595</v>
      </c>
      <c r="C13" s="6"/>
      <c r="D13" s="76"/>
      <c r="E13" s="76"/>
      <c r="F13" s="76"/>
      <c r="G13" s="76"/>
      <c r="H13" s="76"/>
      <c r="I13" s="76"/>
      <c r="M13" s="2"/>
      <c r="N13" s="2"/>
    </row>
    <row r="14" spans="1:14">
      <c r="B14" s="183" t="s">
        <v>1596</v>
      </c>
      <c r="C14" s="183"/>
      <c r="D14" s="76" t="s">
        <v>261</v>
      </c>
      <c r="E14" s="1017"/>
      <c r="F14" s="1017"/>
      <c r="G14" s="1017"/>
      <c r="H14" s="1017"/>
      <c r="I14" s="1017"/>
      <c r="M14" s="2"/>
      <c r="N14" s="2"/>
    </row>
    <row r="15" spans="1:14">
      <c r="B15" s="183" t="s">
        <v>1597</v>
      </c>
      <c r="C15" s="183"/>
      <c r="D15" s="76" t="s">
        <v>261</v>
      </c>
      <c r="E15" s="1017"/>
      <c r="F15" s="1017"/>
      <c r="G15" s="1017"/>
      <c r="H15" s="1017"/>
      <c r="I15" s="1017"/>
      <c r="M15" s="2"/>
      <c r="N15" s="2"/>
    </row>
    <row r="16" spans="1:14">
      <c r="B16" s="183" t="s">
        <v>1598</v>
      </c>
      <c r="C16" s="183"/>
      <c r="D16" s="76" t="s">
        <v>261</v>
      </c>
      <c r="E16" s="1017"/>
      <c r="F16" s="1017"/>
      <c r="G16" s="1017"/>
      <c r="H16" s="1017"/>
      <c r="I16" s="1017"/>
      <c r="M16" s="2"/>
      <c r="N16" s="2"/>
    </row>
    <row r="17" spans="2:38">
      <c r="B17" s="183" t="s">
        <v>1599</v>
      </c>
      <c r="C17" s="183"/>
      <c r="D17" s="76" t="s">
        <v>261</v>
      </c>
      <c r="E17" s="1017"/>
      <c r="F17" s="1017"/>
      <c r="G17" s="1017"/>
      <c r="H17" s="1017"/>
      <c r="I17" s="1017"/>
      <c r="M17" s="2"/>
      <c r="N17" s="2"/>
    </row>
    <row r="18" spans="2:38">
      <c r="B18" s="1028" t="s">
        <v>1600</v>
      </c>
      <c r="C18" s="1028"/>
      <c r="D18" s="76" t="s">
        <v>261</v>
      </c>
      <c r="E18" s="437">
        <f>SUM(E14:E17)</f>
        <v>0</v>
      </c>
      <c r="F18" s="438">
        <f t="shared" ref="F18:I18" si="2">SUM(F14:F17)</f>
        <v>0</v>
      </c>
      <c r="G18" s="438">
        <f t="shared" si="2"/>
        <v>0</v>
      </c>
      <c r="H18" s="438">
        <f t="shared" si="2"/>
        <v>0</v>
      </c>
      <c r="I18" s="438">
        <f t="shared" si="2"/>
        <v>0</v>
      </c>
      <c r="M18" s="2"/>
      <c r="N18" s="2"/>
    </row>
    <row r="19" spans="2:38">
      <c r="B19" s="183"/>
      <c r="C19" s="183"/>
      <c r="D19" s="183"/>
      <c r="E19" s="1029"/>
      <c r="F19" s="1029"/>
      <c r="G19" s="1029"/>
      <c r="H19" s="1029"/>
      <c r="I19" s="1029"/>
    </row>
    <row r="20" spans="2:38" ht="14" thickBot="1">
      <c r="B20" s="6" t="s">
        <v>814</v>
      </c>
      <c r="C20" s="6"/>
      <c r="D20" s="76"/>
      <c r="E20" s="76"/>
      <c r="F20" s="1030"/>
      <c r="G20" s="1030"/>
      <c r="H20" s="1030"/>
      <c r="I20" s="1030"/>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2:38" ht="14" thickBot="1">
      <c r="B21" s="183" t="s">
        <v>1601</v>
      </c>
      <c r="C21" s="1031"/>
      <c r="D21" s="76" t="s">
        <v>261</v>
      </c>
      <c r="E21" s="1278">
        <f>('R4 - Incentives and Other Rev'!D67+'R4 - Incentives and Other Rev'!D41+'R4 - Incentives and Other Rev'!D48)/(1-INDEX(Corporate_Tax,MATCH($E$6,Data!$C$15:$N$15,0)))*INDEX(Corporate_Tax,MATCH($E$6,Data!$C$15:$N$15,0))</f>
        <v>7.2427398825064049E-2</v>
      </c>
      <c r="F21" s="1279">
        <f>('R4 - Incentives and Other Rev'!E67+'R4 - Incentives and Other Rev'!E41+'R4 - Incentives and Other Rev'!E48)/(1-INDEX(Corporate_Tax,MATCH($E$6,Data!$C$15:$N$15,0)))*INDEX(Corporate_Tax,MATCH($E$6,Data!$C$15:$N$15,0))</f>
        <v>0.12974128566176263</v>
      </c>
      <c r="G21" s="1279">
        <f>('R4 - Incentives and Other Rev'!F67+'R4 - Incentives and Other Rev'!F41+'R4 - Incentives and Other Rev'!F48)/(1-INDEX(Corporate_Tax,MATCH($E$6,Data!$C$15:$N$15,0)))*INDEX(Corporate_Tax,MATCH($E$6,Data!$C$15:$N$15,0))</f>
        <v>0.40068365031300424</v>
      </c>
      <c r="H21" s="1279">
        <f>('R4 - Incentives and Other Rev'!G67+'R4 - Incentives and Other Rev'!G41+'R4 - Incentives and Other Rev'!G48)/(1-INDEX(Corporate_Tax,MATCH($E$6,Data!$C$15:$N$15,0)))*INDEX(Corporate_Tax,MATCH($E$6,Data!$C$15:$N$15,0))</f>
        <v>0.40652134000238965</v>
      </c>
      <c r="I21" s="1280">
        <f>('R4 - Incentives and Other Rev'!H67+'R4 - Incentives and Other Rev'!H41+'R4 - Incentives and Other Rev'!H48)/(1-INDEX(Corporate_Tax,MATCH($E$6,Data!$C$15:$N$15,0)))*INDEX(Corporate_Tax,MATCH($E$6,Data!$C$15:$N$15,0))</f>
        <v>0.29230614224214385</v>
      </c>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row>
    <row r="22" spans="2:38">
      <c r="B22" s="183" t="s">
        <v>1602</v>
      </c>
      <c r="C22" s="183"/>
      <c r="D22" s="76" t="s">
        <v>261</v>
      </c>
      <c r="E22" s="1277"/>
      <c r="F22" s="1277"/>
      <c r="G22" s="1277"/>
      <c r="H22" s="1277"/>
      <c r="I22" s="1277"/>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row>
    <row r="23" spans="2:38">
      <c r="B23" s="183" t="s">
        <v>1603</v>
      </c>
      <c r="C23" s="183"/>
      <c r="D23" s="76" t="s">
        <v>261</v>
      </c>
      <c r="E23" s="1017"/>
      <c r="F23" s="1017"/>
      <c r="G23" s="1017"/>
      <c r="H23" s="1017"/>
      <c r="I23" s="1017"/>
    </row>
    <row r="24" spans="2:38">
      <c r="B24" s="183" t="s">
        <v>1604</v>
      </c>
      <c r="C24" s="183"/>
      <c r="D24" s="76" t="s">
        <v>261</v>
      </c>
      <c r="E24" s="1017"/>
      <c r="F24" s="1017"/>
      <c r="G24" s="1017"/>
      <c r="H24" s="1017"/>
      <c r="I24" s="1017"/>
    </row>
    <row r="25" spans="2:38">
      <c r="B25" s="183" t="s">
        <v>1605</v>
      </c>
      <c r="C25" s="183"/>
      <c r="D25" s="76" t="s">
        <v>261</v>
      </c>
      <c r="E25" s="1017"/>
      <c r="F25" s="1017"/>
      <c r="G25" s="1017"/>
      <c r="H25" s="1017"/>
      <c r="I25" s="1017"/>
    </row>
    <row r="26" spans="2:38">
      <c r="B26" s="183" t="s">
        <v>1606</v>
      </c>
      <c r="C26" s="183"/>
      <c r="D26" s="76" t="s">
        <v>261</v>
      </c>
      <c r="E26" s="1017"/>
      <c r="F26" s="1017"/>
      <c r="G26" s="1017"/>
      <c r="H26" s="1017"/>
      <c r="I26" s="1017"/>
    </row>
    <row r="27" spans="2:38">
      <c r="B27" s="183" t="s">
        <v>1606</v>
      </c>
      <c r="C27" s="183"/>
      <c r="D27" s="76" t="s">
        <v>261</v>
      </c>
      <c r="E27" s="1017"/>
      <c r="F27" s="1017"/>
      <c r="G27" s="1017"/>
      <c r="H27" s="1017"/>
      <c r="I27" s="1017"/>
    </row>
    <row r="28" spans="2:38">
      <c r="B28" s="183" t="s">
        <v>1606</v>
      </c>
      <c r="C28" s="183"/>
      <c r="D28" s="76" t="s">
        <v>261</v>
      </c>
      <c r="E28" s="1017"/>
      <c r="F28" s="1017"/>
      <c r="G28" s="1017"/>
      <c r="H28" s="1017"/>
      <c r="I28" s="1017"/>
    </row>
    <row r="29" spans="2:38">
      <c r="B29" s="183" t="s">
        <v>1606</v>
      </c>
      <c r="C29" s="183"/>
      <c r="D29" s="76" t="s">
        <v>261</v>
      </c>
      <c r="E29" s="1017"/>
      <c r="F29" s="1017"/>
      <c r="G29" s="1017"/>
      <c r="H29" s="1017"/>
      <c r="I29" s="1017"/>
    </row>
    <row r="30" spans="2:38">
      <c r="B30" s="183" t="s">
        <v>1607</v>
      </c>
      <c r="C30" s="183"/>
      <c r="D30" s="76" t="s">
        <v>261</v>
      </c>
      <c r="E30" s="1017"/>
      <c r="F30" s="1017"/>
      <c r="G30" s="1017"/>
      <c r="H30" s="1017"/>
      <c r="I30" s="1017"/>
    </row>
    <row r="31" spans="2:38">
      <c r="B31" s="6" t="s">
        <v>289</v>
      </c>
      <c r="C31" s="6"/>
      <c r="D31" s="76" t="s">
        <v>261</v>
      </c>
      <c r="E31" s="461">
        <f>SUM(E21:E30)</f>
        <v>7.2427398825064049E-2</v>
      </c>
      <c r="F31" s="1032">
        <f>SUM(F21:F30)</f>
        <v>0.12974128566176263</v>
      </c>
      <c r="G31" s="1032">
        <f>SUM(G21:G30)</f>
        <v>0.40068365031300424</v>
      </c>
      <c r="H31" s="1032">
        <f>SUM(H21:H30)</f>
        <v>0.40652134000238965</v>
      </c>
      <c r="I31" s="1032">
        <f>SUM(I21:I30)</f>
        <v>0.29230614224214385</v>
      </c>
    </row>
    <row r="33" spans="2:11" ht="25.5" customHeight="1">
      <c r="B33" s="730" t="s">
        <v>1608</v>
      </c>
      <c r="D33" s="76" t="s">
        <v>261</v>
      </c>
      <c r="E33" s="1017">
        <v>115.91785089735072</v>
      </c>
      <c r="F33" s="1017">
        <v>44.299714105611095</v>
      </c>
      <c r="G33" s="1017">
        <v>225.68495910944139</v>
      </c>
      <c r="H33" s="1017">
        <v>215.93588610308493</v>
      </c>
      <c r="I33" s="1017">
        <v>205.03574672838806</v>
      </c>
    </row>
    <row r="34" spans="2:11" ht="12.75" customHeight="1">
      <c r="B34" s="730" t="s">
        <v>1609</v>
      </c>
      <c r="C34" s="730"/>
      <c r="D34" s="76" t="s">
        <v>261</v>
      </c>
      <c r="E34" s="461">
        <f>E11+E33-E18-E31</f>
        <v>115.84542349852565</v>
      </c>
      <c r="F34" s="461">
        <f>F11+F33-F18-F31</f>
        <v>44.169972819949329</v>
      </c>
      <c r="G34" s="461">
        <f>G11+G33-G18-G31</f>
        <v>225.28427545912839</v>
      </c>
      <c r="H34" s="461">
        <f>H11+H33-H18-H31</f>
        <v>215.52936476308253</v>
      </c>
      <c r="I34" s="461">
        <f>I11+I33-I18-I31</f>
        <v>204.74344058614591</v>
      </c>
    </row>
    <row r="35" spans="2:11" ht="12.75" customHeight="1">
      <c r="B35" s="729"/>
      <c r="C35" s="729"/>
      <c r="D35" s="76"/>
      <c r="E35" s="918"/>
      <c r="F35" s="918"/>
      <c r="G35" s="918"/>
      <c r="H35" s="918"/>
      <c r="I35" s="918"/>
    </row>
    <row r="36" spans="2:11">
      <c r="B36" t="s">
        <v>439</v>
      </c>
      <c r="D36" s="91" t="s">
        <v>440</v>
      </c>
      <c r="E36" s="60">
        <f t="shared" ref="E36:I36" si="3">INDEX(real_to_nominal_CF,MATCH(E$6,calendar_year,0))</f>
        <v>1.0847835302284383</v>
      </c>
      <c r="F36" s="60">
        <f t="shared" si="3"/>
        <v>1.1682111694202062</v>
      </c>
      <c r="G36" s="60">
        <f t="shared" si="3"/>
        <v>1.2070548174037865</v>
      </c>
      <c r="H36" s="60">
        <f t="shared" si="3"/>
        <v>1.2275072378847331</v>
      </c>
      <c r="I36" s="60">
        <f t="shared" si="3"/>
        <v>1.2509585044470788</v>
      </c>
    </row>
    <row r="37" spans="2:11">
      <c r="B37" s="729"/>
      <c r="C37" s="729"/>
      <c r="D37" s="76"/>
      <c r="E37" s="76"/>
      <c r="F37" s="76"/>
      <c r="G37" s="76"/>
      <c r="H37" s="76"/>
      <c r="I37" s="76"/>
    </row>
    <row r="38" spans="2:11">
      <c r="B38" s="730" t="s">
        <v>1610</v>
      </c>
      <c r="C38" s="730"/>
      <c r="D38" s="95" t="str">
        <f>Data!$C$9</f>
        <v>£m 18/19</v>
      </c>
      <c r="E38" s="461">
        <f>Adjusted_regulated_tax_liability/E36</f>
        <v>106.79128164319606</v>
      </c>
      <c r="F38" s="461">
        <f>Adjusted_regulated_tax_liability/F36</f>
        <v>37.809921678690408</v>
      </c>
      <c r="G38" s="461">
        <f>Adjusted_regulated_tax_liability/G36</f>
        <v>186.63963907097835</v>
      </c>
      <c r="H38" s="461">
        <f>Adjusted_regulated_tax_liability/H36</f>
        <v>175.58296856520974</v>
      </c>
      <c r="I38" s="461">
        <f>Adjusted_regulated_tax_liability/I36</f>
        <v>163.66925030550243</v>
      </c>
    </row>
    <row r="39" spans="2:11">
      <c r="B39" s="730"/>
      <c r="C39" s="730"/>
      <c r="D39" s="730"/>
      <c r="E39" s="730"/>
      <c r="F39" s="730"/>
      <c r="G39" s="730"/>
      <c r="H39" s="730"/>
      <c r="I39" s="730"/>
    </row>
    <row r="40" spans="2:11">
      <c r="B40" s="545" t="s">
        <v>1611</v>
      </c>
      <c r="C40" s="545"/>
      <c r="D40" s="95"/>
      <c r="E40" s="95"/>
      <c r="F40" s="95"/>
      <c r="G40" s="95"/>
      <c r="H40" s="95"/>
      <c r="I40" s="95"/>
    </row>
    <row r="41" spans="2:11">
      <c r="B41" s="182" t="s">
        <v>446</v>
      </c>
      <c r="C41" s="182"/>
      <c r="D41" s="730"/>
      <c r="E41" s="730"/>
      <c r="F41" s="730"/>
      <c r="G41" s="730"/>
      <c r="H41" s="730"/>
      <c r="I41" s="730"/>
      <c r="K41" s="730"/>
    </row>
    <row r="42" spans="2:11">
      <c r="K42" s="730"/>
    </row>
    <row r="43" spans="2:11" ht="12.75" customHeight="1">
      <c r="B43" s="89" t="s">
        <v>24</v>
      </c>
      <c r="C43" s="89"/>
      <c r="D43" s="39" t="s">
        <v>225</v>
      </c>
      <c r="E43" s="635">
        <f>Data!$C$8</f>
        <v>0.55000000000000004</v>
      </c>
      <c r="F43" s="636">
        <f>Data!$C$8</f>
        <v>0.55000000000000004</v>
      </c>
      <c r="G43" s="636">
        <f>Data!$C$8</f>
        <v>0.55000000000000004</v>
      </c>
      <c r="H43" s="636">
        <f>Data!$C$8</f>
        <v>0.55000000000000004</v>
      </c>
      <c r="I43" s="636">
        <f>Data!$C$8</f>
        <v>0.55000000000000004</v>
      </c>
      <c r="K43" s="730"/>
    </row>
    <row r="44" spans="2:11" ht="12.75" customHeight="1">
      <c r="B44" s="89" t="s">
        <v>447</v>
      </c>
      <c r="C44" s="89"/>
      <c r="D44" s="39" t="s">
        <v>225</v>
      </c>
      <c r="E44" s="635">
        <f>'R6 - Net Debt'!D58</f>
        <v>0.53390579254739479</v>
      </c>
      <c r="F44" s="636">
        <f>'R6 - Net Debt'!E58</f>
        <v>0.52603383597230968</v>
      </c>
      <c r="G44" s="636">
        <f>'R6 - Net Debt'!F58</f>
        <v>0.54229935046640176</v>
      </c>
      <c r="H44" s="636">
        <f>'R6 - Net Debt'!G58</f>
        <v>0.54304382030922249</v>
      </c>
      <c r="I44" s="636">
        <f>'R6 - Net Debt'!H58</f>
        <v>0.54552093447284777</v>
      </c>
      <c r="K44" s="730"/>
    </row>
    <row r="45" spans="2:11" ht="12.75" customHeight="1">
      <c r="B45" s="89"/>
      <c r="C45" s="89"/>
      <c r="D45" s="39"/>
      <c r="E45" s="39"/>
      <c r="F45" s="39"/>
      <c r="G45" s="39"/>
      <c r="H45" s="39"/>
      <c r="I45" s="39"/>
      <c r="K45" s="730"/>
    </row>
    <row r="46" spans="2:11" ht="12.75" customHeight="1">
      <c r="B46" s="730" t="s">
        <v>1610</v>
      </c>
      <c r="C46" s="730"/>
      <c r="D46" s="76" t="s">
        <v>261</v>
      </c>
      <c r="E46" s="461">
        <f>E34</f>
        <v>115.84542349852565</v>
      </c>
      <c r="F46" s="461">
        <f>F34</f>
        <v>44.169972819949329</v>
      </c>
      <c r="G46" s="461">
        <f>G34</f>
        <v>225.28427545912839</v>
      </c>
      <c r="H46" s="461">
        <f>H34</f>
        <v>215.52936476308253</v>
      </c>
      <c r="I46" s="461">
        <f>I34</f>
        <v>204.74344058614591</v>
      </c>
      <c r="K46" s="730"/>
    </row>
    <row r="47" spans="2:11">
      <c r="B47" s="89" t="s">
        <v>1612</v>
      </c>
      <c r="C47" s="89"/>
      <c r="D47" s="76" t="s">
        <v>261</v>
      </c>
      <c r="E47" s="461">
        <f>E64-E66</f>
        <v>-0.21604793573226999</v>
      </c>
      <c r="F47" s="461">
        <f t="shared" ref="F47:I47" si="4">F64-F66</f>
        <v>-1.7626100876234432</v>
      </c>
      <c r="G47" s="461">
        <f t="shared" si="4"/>
        <v>0.18369275569266108</v>
      </c>
      <c r="H47" s="461">
        <f t="shared" si="4"/>
        <v>0.47256209689567008</v>
      </c>
      <c r="I47" s="461">
        <f t="shared" si="4"/>
        <v>0.29593388931256648</v>
      </c>
      <c r="K47" s="730"/>
    </row>
    <row r="48" spans="2:11">
      <c r="B48" s="89" t="s">
        <v>1613</v>
      </c>
      <c r="C48" s="89"/>
      <c r="D48" s="76" t="s">
        <v>261</v>
      </c>
      <c r="E48" s="461">
        <f>SUM(E46:E47)</f>
        <v>115.62937556279337</v>
      </c>
      <c r="F48" s="461">
        <f t="shared" ref="F48:I48" si="5">SUM(F46:F47)</f>
        <v>42.407362732325886</v>
      </c>
      <c r="G48" s="461">
        <f t="shared" si="5"/>
        <v>225.46796821482104</v>
      </c>
      <c r="H48" s="461">
        <f t="shared" si="5"/>
        <v>216.0019268599782</v>
      </c>
      <c r="I48" s="461">
        <f t="shared" si="5"/>
        <v>205.03937447545849</v>
      </c>
    </row>
    <row r="50" spans="2:11">
      <c r="B50" s="89" t="s">
        <v>1613</v>
      </c>
      <c r="C50" s="89"/>
      <c r="D50" s="95" t="str">
        <f>Data!$C$9</f>
        <v>£m 18/19</v>
      </c>
      <c r="E50" s="461">
        <f>E48/E36</f>
        <v>106.59211938666108</v>
      </c>
      <c r="F50" s="461">
        <f t="shared" ref="F50:I50" si="6">F48/F36</f>
        <v>36.301110486191504</v>
      </c>
      <c r="G50" s="461">
        <f t="shared" si="6"/>
        <v>186.79182168360214</v>
      </c>
      <c r="H50" s="461">
        <f t="shared" si="6"/>
        <v>175.96794560022096</v>
      </c>
      <c r="I50" s="461">
        <f t="shared" si="6"/>
        <v>163.90581601752288</v>
      </c>
    </row>
    <row r="52" spans="2:11">
      <c r="B52" s="501" t="s">
        <v>1614</v>
      </c>
      <c r="C52" s="501"/>
      <c r="D52" s="502"/>
      <c r="E52" s="502"/>
      <c r="F52" s="502"/>
      <c r="G52" s="502"/>
      <c r="H52" s="502"/>
      <c r="I52" s="502"/>
      <c r="J52" s="502"/>
      <c r="K52" s="730"/>
    </row>
    <row r="53" spans="2:11" ht="12.65" customHeight="1">
      <c r="D53" s="95"/>
      <c r="E53" s="1132"/>
      <c r="F53" s="1132"/>
      <c r="G53" s="1132"/>
      <c r="H53" s="1132"/>
      <c r="I53" s="1132"/>
    </row>
    <row r="54" spans="2:11">
      <c r="B54" t="s">
        <v>1615</v>
      </c>
      <c r="D54" s="95" t="str">
        <f>Data!$C$9</f>
        <v>£m 18/19</v>
      </c>
      <c r="E54" s="1002">
        <v>106.85804832687701</v>
      </c>
      <c r="F54" s="1002">
        <v>37.920981467415189</v>
      </c>
      <c r="G54" s="1002">
        <v>186.97159056525663</v>
      </c>
      <c r="H54" s="1002">
        <v>175.91414489350811</v>
      </c>
      <c r="I54" s="1002">
        <v>163.90291604357691</v>
      </c>
    </row>
    <row r="55" spans="2:11">
      <c r="D55" s="95"/>
      <c r="E55" s="95"/>
      <c r="F55" s="95"/>
      <c r="G55" s="95"/>
      <c r="H55" s="95"/>
      <c r="I55" s="95"/>
      <c r="J55" s="95"/>
    </row>
    <row r="56" spans="2:11">
      <c r="B56" s="548" t="s">
        <v>455</v>
      </c>
      <c r="C56" s="548"/>
      <c r="D56" s="548"/>
      <c r="E56" s="548"/>
      <c r="F56" s="548"/>
      <c r="G56" s="548"/>
      <c r="H56" s="548"/>
      <c r="I56" s="548"/>
      <c r="J56" s="548"/>
    </row>
    <row r="58" spans="2:11">
      <c r="B58" s="6" t="s">
        <v>1616</v>
      </c>
      <c r="C58" s="6"/>
      <c r="D58" s="96" t="str">
        <f>Data!$C$9</f>
        <v>£m 18/19</v>
      </c>
      <c r="E58" s="433">
        <f>E$54-E38</f>
        <v>6.6766683680953065E-2</v>
      </c>
      <c r="F58" s="433">
        <f>F$54-F38</f>
        <v>0.11105978872478062</v>
      </c>
      <c r="G58" s="433">
        <f>G$54-G38</f>
        <v>0.33195149427828596</v>
      </c>
      <c r="H58" s="433">
        <f>H$54-H38</f>
        <v>0.33117632829836907</v>
      </c>
      <c r="I58" s="433">
        <f>I$54-I38</f>
        <v>0.23366573807447821</v>
      </c>
    </row>
    <row r="59" spans="2:11">
      <c r="B59" s="6"/>
      <c r="C59" s="6"/>
      <c r="D59" s="6"/>
      <c r="E59" s="6"/>
      <c r="F59" s="6"/>
      <c r="G59" s="6"/>
      <c r="H59" s="6"/>
      <c r="I59" s="6"/>
    </row>
    <row r="60" spans="2:11">
      <c r="B60" s="6" t="s">
        <v>1617</v>
      </c>
      <c r="C60" s="6"/>
      <c r="D60" s="96" t="str">
        <f>Data!$C$9</f>
        <v>£m 18/19</v>
      </c>
      <c r="E60" s="433">
        <f>E$54-E50</f>
        <v>0.26592894021592883</v>
      </c>
      <c r="F60" s="433">
        <f>F$54-F50</f>
        <v>1.6198709812236842</v>
      </c>
      <c r="G60" s="433">
        <f>G$54-G50</f>
        <v>0.17976888165449623</v>
      </c>
      <c r="H60" s="433">
        <f>H$54-H50</f>
        <v>-5.3800706712848978E-2</v>
      </c>
      <c r="I60" s="433">
        <f>I$54-I50</f>
        <v>-2.8999739459720786E-3</v>
      </c>
    </row>
    <row r="62" spans="2:11">
      <c r="B62" s="6" t="s">
        <v>1618</v>
      </c>
      <c r="C62" s="6"/>
      <c r="D62" s="96" t="str">
        <f>Data!$C$9</f>
        <v>£m 18/19</v>
      </c>
      <c r="E62" s="433">
        <f>E58-E60</f>
        <v>-0.19916225653497577</v>
      </c>
      <c r="F62" s="434">
        <f t="shared" ref="F62:I62" si="7">F58-F60</f>
        <v>-1.5088111924989036</v>
      </c>
      <c r="G62" s="434">
        <f t="shared" si="7"/>
        <v>0.15218261262378974</v>
      </c>
      <c r="H62" s="434">
        <f t="shared" si="7"/>
        <v>0.38497703501121805</v>
      </c>
      <c r="I62" s="434">
        <f t="shared" si="7"/>
        <v>0.23656571202045029</v>
      </c>
    </row>
    <row r="64" spans="2:11">
      <c r="B64" t="s">
        <v>1619</v>
      </c>
      <c r="D64" s="76" t="s">
        <v>261</v>
      </c>
      <c r="E64" s="461">
        <f>('R5 - Financing'!D83*INDEX(Corporate_Tax,MATCH(E$6,Data!$C$15:$N$15,0))*'R8 - Tax'!E$36)</f>
        <v>39.313155057379362</v>
      </c>
      <c r="F64" s="461">
        <f>('R5 - Financing'!E83*INDEX(Corporate_Tax,MATCH(F$6,Data!$C$15:$N$15,0))*'R8 - Tax'!F$36)</f>
        <v>71.638467212389216</v>
      </c>
      <c r="G64" s="461">
        <f>('R5 - Financing'!F83*INDEX(Corporate_Tax,MATCH(G$6,Data!$C$15:$N$15,0))*'R8 - Tax'!G$36)</f>
        <v>31.667035755401596</v>
      </c>
      <c r="H64" s="461">
        <f>('R5 - Financing'!G83*INDEX(Corporate_Tax,MATCH(H$6,Data!$C$15:$N$15,0))*'R8 - Tax'!H$36)</f>
        <v>8.4127865429866748</v>
      </c>
      <c r="I64" s="461">
        <f>('R5 - Financing'!H83*INDEX(Corporate_Tax,MATCH(I$6,Data!$C$15:$N$15,0))*'R8 - Tax'!I$36)</f>
        <v>10.532839056213128</v>
      </c>
    </row>
    <row r="65" spans="2:9">
      <c r="B65" t="s">
        <v>1619</v>
      </c>
      <c r="D65" s="95" t="str">
        <f>Data!$C$9</f>
        <v>£m 18/19</v>
      </c>
      <c r="E65" s="461">
        <f>E64/E$36</f>
        <v>36.240553033747325</v>
      </c>
      <c r="F65" s="461">
        <f t="shared" ref="F65:I65" si="8">F64/F$36</f>
        <v>61.323217143989503</v>
      </c>
      <c r="G65" s="461">
        <f t="shared" si="8"/>
        <v>26.234960748106829</v>
      </c>
      <c r="H65" s="461">
        <f t="shared" si="8"/>
        <v>6.8535535134471139</v>
      </c>
      <c r="I65" s="461">
        <f t="shared" si="8"/>
        <v>8.4198149009495893</v>
      </c>
    </row>
    <row r="66" spans="2:9">
      <c r="B66" t="s">
        <v>1620</v>
      </c>
      <c r="D66" s="76" t="s">
        <v>261</v>
      </c>
      <c r="E66" s="461">
        <f>('R5 - Financing'!D85*INDEX(Corporate_Tax,MATCH(E$6,Data!$C$15:$N$15,0))*'R8 - Tax'!E$36)</f>
        <v>39.529202993111632</v>
      </c>
      <c r="F66" s="461">
        <f>('R5 - Financing'!E85*INDEX(Corporate_Tax,MATCH(F$6,Data!$C$15:$N$15,0))*'R8 - Tax'!F$36)</f>
        <v>73.401077300012659</v>
      </c>
      <c r="G66" s="461">
        <f>('R5 - Financing'!F85*INDEX(Corporate_Tax,MATCH(G$6,Data!$C$15:$N$15,0))*'R8 - Tax'!G$36)</f>
        <v>31.483342999708935</v>
      </c>
      <c r="H66" s="461">
        <f>('R5 - Financing'!G85*INDEX(Corporate_Tax,MATCH(H$6,Data!$C$15:$N$15,0))*'R8 - Tax'!H$36)</f>
        <v>7.9402244460910048</v>
      </c>
      <c r="I66" s="461">
        <f>('R5 - Financing'!H85*INDEX(Corporate_Tax,MATCH(I$6,Data!$C$15:$N$15,0))*'R8 - Tax'!I$36)</f>
        <v>10.236905166900561</v>
      </c>
    </row>
    <row r="67" spans="2:9">
      <c r="B67" t="s">
        <v>1620</v>
      </c>
      <c r="D67" s="95" t="str">
        <f>Data!$C$9</f>
        <v>£m 18/19</v>
      </c>
      <c r="E67" s="461">
        <f>E66/E$36</f>
        <v>36.439715290282294</v>
      </c>
      <c r="F67" s="461">
        <f t="shared" ref="F67:I67" si="9">F66/F$36</f>
        <v>62.832028336488413</v>
      </c>
      <c r="G67" s="461">
        <f t="shared" si="9"/>
        <v>26.082778135483021</v>
      </c>
      <c r="H67" s="461">
        <f t="shared" si="9"/>
        <v>6.4685764784358994</v>
      </c>
      <c r="I67" s="461">
        <f t="shared" si="9"/>
        <v>8.1832491889291354</v>
      </c>
    </row>
    <row r="68" spans="2:9">
      <c r="B68" t="s">
        <v>1621</v>
      </c>
      <c r="D68" s="95" t="str">
        <f>Data!$C$9</f>
        <v>£m 18/19</v>
      </c>
      <c r="E68" s="461">
        <f>E65-E67</f>
        <v>-0.19916225653496866</v>
      </c>
      <c r="F68" s="461">
        <f t="shared" ref="F68:I68" si="10">F65-F67</f>
        <v>-1.5088111924989107</v>
      </c>
      <c r="G68" s="461">
        <f t="shared" si="10"/>
        <v>0.1521826126238075</v>
      </c>
      <c r="H68" s="461">
        <f t="shared" si="10"/>
        <v>0.3849770350112145</v>
      </c>
      <c r="I68" s="461">
        <f t="shared" si="10"/>
        <v>0.23656571202045384</v>
      </c>
    </row>
  </sheetData>
  <sheetProtection algorithmName="SHA-512" hashValue="YNyPzc4KWFHMIZbcfnFe+DMrfAmjNk0F+P4JtDTCUwiw5QjIaaDjTQ1kOuVoylEq7i+EiEfE5S4ZK7uNYGeZ4A==" saltValue="8miilFd3SxFJ1Jv4fiDR3A==" spinCount="100000" sheet="1" formatCells="0" formatColumns="0" formatRows="0" insertColumns="0" insertRows="0" insertHyperlinks="0" deleteColumns="0" deleteRows="0" sort="0" autoFilter="0" pivotTables="0"/>
  <mergeCells count="1">
    <mergeCell ref="B9:I9"/>
  </mergeCells>
  <phoneticPr fontId="265" type="noConversion"/>
  <conditionalFormatting sqref="E7:I7">
    <cfRule type="expression" dxfId="21" priority="15">
      <formula>AND(E$5="Actuals",F$5="Forecast")</formula>
    </cfRule>
  </conditionalFormatting>
  <conditionalFormatting sqref="E21:I30">
    <cfRule type="expression" dxfId="20" priority="13">
      <formula>E$5="Forecast"</formula>
    </cfRule>
  </conditionalFormatting>
  <conditionalFormatting sqref="E11:I11">
    <cfRule type="expression" dxfId="19" priority="10">
      <formula>E$5="Forecast"</formula>
    </cfRule>
  </conditionalFormatting>
  <conditionalFormatting sqref="E14:I17">
    <cfRule type="expression" dxfId="18" priority="7">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ignoredErrors>
    <ignoredError sqref="E44:I44"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50" zoomScaleNormal="85" zoomScaleSheetLayoutView="50" workbookViewId="0">
      <pane xSplit="2" ySplit="9" topLeftCell="C10" activePane="bottomRight" state="frozen"/>
      <selection pane="topRight" activeCell="B27" sqref="B27"/>
      <selection pane="bottomLeft" activeCell="B27" sqref="B27"/>
      <selection pane="bottomRight" activeCell="H69" sqref="H69"/>
    </sheetView>
  </sheetViews>
  <sheetFormatPr defaultColWidth="9.23046875" defaultRowHeight="14.5"/>
  <cols>
    <col min="1" max="1" width="27" style="1068" customWidth="1"/>
    <col min="2" max="2" width="51.23046875" style="1068" customWidth="1"/>
    <col min="3" max="3" width="14.15234375" style="1068" customWidth="1"/>
    <col min="4" max="5" width="16.23046875" style="1068" customWidth="1"/>
    <col min="6" max="6" width="3.765625" style="1068" customWidth="1"/>
    <col min="7" max="7" width="48.84375" style="1068" customWidth="1"/>
    <col min="8" max="9" width="15.61328125" style="1068" customWidth="1"/>
    <col min="10" max="10" width="3.23046875" style="1068" customWidth="1"/>
    <col min="11" max="11" width="17.4609375" style="1068" customWidth="1"/>
    <col min="12" max="12" width="3.15234375" style="1068" customWidth="1"/>
    <col min="13" max="13" width="56.23046875" style="1068" customWidth="1"/>
    <col min="14" max="14" width="2.23046875" style="1068" customWidth="1"/>
    <col min="15" max="16384" width="9.23046875" style="1068"/>
  </cols>
  <sheetData>
    <row r="1" spans="1:13" ht="20">
      <c r="A1" s="1170" t="s">
        <v>1622</v>
      </c>
      <c r="B1" s="1170"/>
      <c r="C1" s="639"/>
      <c r="D1" s="639"/>
      <c r="E1" s="639"/>
      <c r="F1" s="1067"/>
      <c r="G1" s="639"/>
      <c r="H1" s="639"/>
      <c r="I1" s="1163"/>
      <c r="K1" s="639"/>
      <c r="L1" s="1067"/>
      <c r="M1" s="639"/>
    </row>
    <row r="2" spans="1:13" ht="20">
      <c r="A2" s="639"/>
      <c r="B2" s="639"/>
      <c r="C2" s="639"/>
      <c r="D2" s="639"/>
      <c r="E2" s="639"/>
      <c r="F2" s="1067"/>
      <c r="G2" s="639"/>
      <c r="H2" s="639"/>
      <c r="I2" s="1164"/>
      <c r="K2" s="639"/>
      <c r="L2" s="1067"/>
      <c r="M2" s="639"/>
    </row>
    <row r="3" spans="1:13" ht="20">
      <c r="A3" s="639" t="s">
        <v>1623</v>
      </c>
      <c r="B3" s="639" t="str">
        <f>Licensee</f>
        <v>NGET (TO)</v>
      </c>
      <c r="C3" s="639"/>
      <c r="D3" s="639"/>
      <c r="E3" s="639"/>
      <c r="F3" s="1067"/>
      <c r="G3" s="639"/>
      <c r="H3" s="639"/>
      <c r="I3" s="1164"/>
      <c r="K3" s="639"/>
      <c r="L3" s="1067"/>
      <c r="M3" s="639"/>
    </row>
    <row r="4" spans="1:13" ht="20">
      <c r="A4" s="639" t="s">
        <v>6</v>
      </c>
      <c r="B4" s="639" t="str">
        <f>Sector</f>
        <v>ET2</v>
      </c>
      <c r="C4" s="639"/>
      <c r="D4" s="639"/>
      <c r="E4" s="639"/>
      <c r="F4" s="1067"/>
      <c r="G4" s="639"/>
      <c r="H4" s="639"/>
      <c r="I4" s="1164"/>
      <c r="K4" s="639"/>
      <c r="L4" s="1067"/>
      <c r="M4" s="639"/>
    </row>
    <row r="5" spans="1:13" ht="20">
      <c r="A5" s="639" t="s">
        <v>1624</v>
      </c>
      <c r="B5" s="911">
        <f>INDEX(Data!$C$14:$N$14,MATCH($B$6,Data!$C$15:$N$15,0))</f>
        <v>44286</v>
      </c>
      <c r="C5" s="639"/>
      <c r="D5" s="639"/>
      <c r="E5" s="639"/>
      <c r="F5" s="1067"/>
      <c r="G5" s="639"/>
      <c r="H5" s="639"/>
      <c r="I5" s="1164"/>
      <c r="K5" s="639"/>
      <c r="L5" s="1067"/>
      <c r="M5" s="639"/>
    </row>
    <row r="6" spans="1:13" ht="20">
      <c r="A6" s="639" t="s">
        <v>32</v>
      </c>
      <c r="B6" s="639">
        <f>Reporting_Year-1</f>
        <v>2021</v>
      </c>
      <c r="C6" s="639"/>
      <c r="D6" s="639"/>
      <c r="E6" s="639"/>
      <c r="F6" s="1067"/>
      <c r="G6" s="639"/>
      <c r="H6" s="639"/>
      <c r="I6" s="1164"/>
      <c r="K6" s="639"/>
      <c r="L6" s="1067"/>
      <c r="M6" s="639"/>
    </row>
    <row r="7" spans="1:13" ht="28.5" customHeight="1">
      <c r="A7" s="1469" t="s">
        <v>1625</v>
      </c>
      <c r="B7" s="1469"/>
      <c r="C7" s="639"/>
      <c r="D7" s="639"/>
      <c r="E7" s="639"/>
      <c r="F7" s="1067"/>
      <c r="G7" s="639"/>
      <c r="H7" s="639"/>
      <c r="I7" s="1165"/>
      <c r="K7" s="639"/>
      <c r="L7" s="1067"/>
      <c r="M7" s="639"/>
    </row>
    <row r="8" spans="1:13" ht="86.25" customHeight="1">
      <c r="A8" s="1470" t="s">
        <v>1626</v>
      </c>
      <c r="B8" s="1471"/>
      <c r="C8" s="1463" t="s">
        <v>1627</v>
      </c>
      <c r="D8" s="1187" t="s">
        <v>1628</v>
      </c>
      <c r="E8" s="1187" t="s">
        <v>1629</v>
      </c>
      <c r="F8" s="1069"/>
      <c r="G8" s="1474" t="s">
        <v>1630</v>
      </c>
      <c r="H8" s="1166" t="s">
        <v>1631</v>
      </c>
      <c r="I8" s="1166" t="s">
        <v>1632</v>
      </c>
      <c r="J8" s="1069"/>
      <c r="K8" s="1166" t="s">
        <v>1633</v>
      </c>
      <c r="L8" s="1069"/>
      <c r="M8" s="1463" t="s">
        <v>1634</v>
      </c>
    </row>
    <row r="9" spans="1:13" ht="15.65" customHeight="1">
      <c r="A9" s="1472"/>
      <c r="B9" s="1473"/>
      <c r="C9" s="1464"/>
      <c r="D9" s="1070" t="s">
        <v>469</v>
      </c>
      <c r="E9" s="1070" t="s">
        <v>469</v>
      </c>
      <c r="F9" s="1071"/>
      <c r="G9" s="1475"/>
      <c r="H9" s="1070" t="s">
        <v>469</v>
      </c>
      <c r="I9" s="1070" t="s">
        <v>469</v>
      </c>
      <c r="J9" s="1071"/>
      <c r="K9" s="1070" t="s">
        <v>469</v>
      </c>
      <c r="M9" s="1464"/>
    </row>
    <row r="10" spans="1:13" ht="15.65" customHeight="1">
      <c r="A10" s="1072"/>
      <c r="B10" s="1072"/>
      <c r="C10" s="1072"/>
      <c r="D10" s="1071"/>
      <c r="E10" s="1071"/>
      <c r="F10" s="1071"/>
      <c r="G10" s="1073"/>
      <c r="H10" s="1071"/>
      <c r="I10" s="1071"/>
      <c r="J10" s="1071"/>
      <c r="K10" s="1071"/>
      <c r="M10" s="1072"/>
    </row>
    <row r="11" spans="1:13" ht="29">
      <c r="A11" s="1072" t="s">
        <v>1635</v>
      </c>
      <c r="B11" s="1161" t="str">
        <f>IF(AND(D11="",E11=""),"No Filing Date",IF(AND(D11="",E11&lt;&gt;""),"Enter Original Filing Date",IF(AND(D11&lt;&gt;"",E11=""),"Original Filing","Re-filed")))</f>
        <v>Original Filing</v>
      </c>
      <c r="C11" s="1072"/>
      <c r="D11" s="1118">
        <v>44561</v>
      </c>
      <c r="E11" s="1118"/>
      <c r="F11" s="1071"/>
      <c r="G11" s="1073"/>
      <c r="H11" s="1071"/>
      <c r="I11" s="1071"/>
      <c r="J11" s="1071"/>
      <c r="M11" s="1072"/>
    </row>
    <row r="12" spans="1:13" s="1075" customFormat="1" ht="17.899999999999999" customHeight="1">
      <c r="A12" s="1074"/>
    </row>
    <row r="13" spans="1:13" ht="15.65" customHeight="1">
      <c r="A13" s="1465" t="s">
        <v>1636</v>
      </c>
      <c r="B13" s="1466"/>
      <c r="D13" s="1076">
        <v>0.2</v>
      </c>
      <c r="E13" s="1076">
        <v>0.2</v>
      </c>
      <c r="F13" s="1077"/>
      <c r="G13" s="1077"/>
      <c r="H13" s="1076">
        <v>0.2</v>
      </c>
      <c r="I13" s="1076">
        <v>0.2</v>
      </c>
      <c r="J13" s="1078"/>
      <c r="K13" s="1078"/>
    </row>
    <row r="14" spans="1:13" ht="15.65" customHeight="1">
      <c r="B14" s="1079"/>
      <c r="D14" s="1077"/>
      <c r="E14" s="1077"/>
      <c r="F14" s="1077"/>
      <c r="G14" s="1077"/>
      <c r="H14" s="1077"/>
      <c r="I14" s="1077"/>
      <c r="J14" s="1078"/>
      <c r="K14" s="1078"/>
    </row>
    <row r="15" spans="1:13" ht="15.65" customHeight="1">
      <c r="A15" s="1088"/>
      <c r="B15" s="1088"/>
      <c r="C15" s="1081"/>
      <c r="D15" s="1085"/>
      <c r="E15" s="909"/>
      <c r="F15" s="909"/>
      <c r="G15" s="1055"/>
      <c r="H15" s="909"/>
      <c r="I15" s="909"/>
      <c r="J15" s="1082"/>
      <c r="K15" s="1082"/>
      <c r="L15" s="1133"/>
      <c r="M15" s="1134"/>
    </row>
    <row r="16" spans="1:13" ht="15.65" customHeight="1">
      <c r="A16" s="1188" t="s">
        <v>1637</v>
      </c>
      <c r="B16" s="1189"/>
      <c r="C16" s="1081" t="s">
        <v>1638</v>
      </c>
      <c r="D16" s="1162">
        <f>IFERROR(0,INDEX('R2 - Rec to Revenue and Profit'!$E$55:$I$55,MATCH('R8a - Tax Reconciliation'!$B$6,'R2 - Rec to Revenue and Profit'!$E$6:$I$6,0)))</f>
        <v>0</v>
      </c>
      <c r="E16" s="907"/>
      <c r="F16" s="909"/>
      <c r="G16" s="1055" t="str">
        <f>IF($B$4="ESO2", $B$4&amp; " " &amp;"PCFM - see Tax Allowance in 'System Operator' worksheet",  $B$4&amp; " " &amp;"PCFM - see Tax Allowance in 'Finance &amp;Tax' worksheet")</f>
        <v>ET2 PCFM - see Tax Allowance in 'Finance &amp;Tax' worksheet</v>
      </c>
      <c r="H16" s="1027"/>
      <c r="I16" s="1162">
        <f>1/(1-H$13)*H16</f>
        <v>0</v>
      </c>
      <c r="J16" s="1082"/>
      <c r="K16" s="1082"/>
      <c r="L16" s="1133"/>
      <c r="M16" s="1134"/>
    </row>
    <row r="17" spans="1:17" ht="15.65" customHeight="1">
      <c r="A17" s="1467" t="s">
        <v>1639</v>
      </c>
      <c r="B17" s="1468"/>
      <c r="C17" s="1081"/>
      <c r="D17" s="909"/>
      <c r="E17" s="909"/>
      <c r="F17" s="909"/>
      <c r="G17" s="1055" t="str">
        <f t="shared" ref="G17:G20" si="0">IF($B$4="ESO2", $B$4&amp; " " &amp;"PCFM - see Tax Allowance in 'System Operator' worksheet",  $B$4&amp; " " &amp;"PCFM - see Tax Allowance in 'Finance &amp;Tax' worksheet")</f>
        <v>ET2 PCFM - see Tax Allowance in 'Finance &amp;Tax' worksheet</v>
      </c>
      <c r="H17" s="1027"/>
      <c r="I17" s="1162">
        <f t="shared" ref="I17:I20" si="1">1/(1-H$13)*H17</f>
        <v>0</v>
      </c>
      <c r="J17" s="1082"/>
      <c r="K17" s="1082"/>
      <c r="L17" s="1133"/>
      <c r="M17" s="1134"/>
    </row>
    <row r="18" spans="1:17" ht="15.65" customHeight="1">
      <c r="A18" s="1113" t="s">
        <v>1640</v>
      </c>
      <c r="B18" s="1114"/>
      <c r="C18" s="1081"/>
      <c r="D18" s="909"/>
      <c r="E18" s="909"/>
      <c r="F18" s="909"/>
      <c r="G18" s="1055" t="str">
        <f t="shared" si="0"/>
        <v>ET2 PCFM - see Tax Allowance in 'Finance &amp;Tax' worksheet</v>
      </c>
      <c r="H18" s="1027"/>
      <c r="I18" s="1162">
        <f t="shared" si="1"/>
        <v>0</v>
      </c>
      <c r="J18" s="1082"/>
      <c r="K18" s="1082"/>
      <c r="L18" s="1133"/>
      <c r="M18" s="1134"/>
    </row>
    <row r="19" spans="1:17" s="1081" customFormat="1">
      <c r="A19" s="1113" t="s">
        <v>1641</v>
      </c>
      <c r="B19" s="1114"/>
      <c r="D19" s="909"/>
      <c r="E19" s="909"/>
      <c r="F19" s="909"/>
      <c r="G19" s="1055" t="str">
        <f t="shared" si="0"/>
        <v>ET2 PCFM - see Tax Allowance in 'Finance &amp;Tax' worksheet</v>
      </c>
      <c r="H19" s="1027"/>
      <c r="I19" s="1162">
        <f t="shared" si="1"/>
        <v>0</v>
      </c>
      <c r="J19" s="1082"/>
      <c r="K19" s="1082"/>
      <c r="L19" s="1133"/>
      <c r="M19" s="1134"/>
      <c r="N19" s="1190"/>
      <c r="O19" s="1190"/>
      <c r="P19" s="1190"/>
      <c r="Q19" s="1190"/>
    </row>
    <row r="20" spans="1:17" s="1081" customFormat="1">
      <c r="A20" s="1113" t="s">
        <v>1642</v>
      </c>
      <c r="B20" s="1114"/>
      <c r="D20" s="909"/>
      <c r="E20" s="909"/>
      <c r="F20" s="909"/>
      <c r="G20" s="1055" t="str">
        <f t="shared" si="0"/>
        <v>ET2 PCFM - see Tax Allowance in 'Finance &amp;Tax' worksheet</v>
      </c>
      <c r="H20" s="1027"/>
      <c r="I20" s="1162">
        <f t="shared" si="1"/>
        <v>0</v>
      </c>
      <c r="J20" s="1082"/>
      <c r="K20" s="1082"/>
      <c r="L20" s="1133"/>
      <c r="M20" s="1134"/>
      <c r="N20" s="1190"/>
      <c r="O20" s="1190"/>
      <c r="P20" s="1190"/>
      <c r="Q20" s="1190"/>
    </row>
    <row r="21" spans="1:17">
      <c r="A21" s="1113" t="s">
        <v>1643</v>
      </c>
      <c r="B21" s="1114"/>
      <c r="C21" s="1081" t="s">
        <v>1638</v>
      </c>
      <c r="D21" s="907"/>
      <c r="E21" s="907"/>
      <c r="F21" s="909"/>
      <c r="G21" s="1055"/>
      <c r="H21" s="909"/>
      <c r="I21" s="909"/>
      <c r="J21" s="1082"/>
      <c r="K21" s="1082"/>
      <c r="L21" s="1133"/>
      <c r="M21" s="1134"/>
    </row>
    <row r="22" spans="1:17">
      <c r="A22" s="1113"/>
      <c r="B22" s="1114"/>
      <c r="C22" s="1081"/>
      <c r="D22" s="909"/>
      <c r="E22" s="909"/>
      <c r="F22" s="909"/>
      <c r="G22" s="1055"/>
      <c r="H22" s="909"/>
      <c r="I22" s="909"/>
      <c r="J22" s="1082"/>
      <c r="K22" s="1082"/>
      <c r="L22" s="1133"/>
      <c r="M22" s="1134"/>
    </row>
    <row r="23" spans="1:17">
      <c r="A23" s="1119" t="s">
        <v>1644</v>
      </c>
      <c r="B23" s="1120"/>
      <c r="C23" s="1135" t="s">
        <v>1638</v>
      </c>
      <c r="D23" s="1121">
        <f>SUM(D16:D21)</f>
        <v>0</v>
      </c>
      <c r="E23" s="1121">
        <f>SUM(E16:E21)</f>
        <v>0</v>
      </c>
      <c r="F23" s="909"/>
      <c r="G23" s="1055"/>
      <c r="H23" s="1121">
        <f>SUM(H16:H21)</f>
        <v>0</v>
      </c>
      <c r="I23" s="1121">
        <f>SUM(I16:I21)</f>
        <v>0</v>
      </c>
      <c r="J23" s="1082"/>
      <c r="K23" s="1121">
        <f>IF(E$11&lt;&gt;"",IF(OR(B$11="No Filing Date","Enter Filing Date",E$11&lt;D$11),"Error in Filing Date",IF('R8a - Tax Reconciliation'!B$11="Original Filing",D23-I23,E23-I23)),IF(OR(B$11="No Filing Date","Enter Filing Date"),"Error in Filing Date",IF('R8a - Tax Reconciliation'!B$11="Original Filing",D23-I23,E23-I23)))</f>
        <v>0</v>
      </c>
      <c r="L23" s="1133"/>
      <c r="M23" s="1134"/>
    </row>
    <row r="24" spans="1:17">
      <c r="A24" s="1122"/>
      <c r="B24" s="1114"/>
      <c r="C24" s="1081"/>
      <c r="D24" s="1123"/>
      <c r="E24" s="1123"/>
      <c r="F24" s="909"/>
      <c r="G24" s="1055"/>
      <c r="H24" s="1123"/>
      <c r="I24" s="1138"/>
      <c r="J24" s="1082"/>
      <c r="K24" s="1123"/>
      <c r="L24" s="1133"/>
      <c r="M24" s="1134"/>
    </row>
    <row r="25" spans="1:17">
      <c r="A25" s="1106" t="s">
        <v>1645</v>
      </c>
      <c r="B25" s="1114"/>
      <c r="C25" s="1081" t="s">
        <v>1638</v>
      </c>
      <c r="D25" s="907"/>
      <c r="E25" s="907"/>
      <c r="F25" s="909"/>
      <c r="G25" s="1055" t="str">
        <f t="shared" ref="G25:G26" si="2">IF($B$4="ESO2", $B$4&amp; " " &amp;"PCFM - see Tax Allowance in 'System Operator' worksheet",  $B$4&amp; " " &amp;"PCFM - see Tax Allowance in 'Finance &amp;Tax' worksheet")</f>
        <v>ET2 PCFM - see Tax Allowance in 'Finance &amp;Tax' worksheet</v>
      </c>
      <c r="H25" s="1027"/>
      <c r="I25" s="1162">
        <f t="shared" ref="I25:I26" si="3">1/(1-H$13)*H25</f>
        <v>0</v>
      </c>
      <c r="J25" s="1082"/>
      <c r="K25" s="1160">
        <f>IF(E$11&lt;&gt;"",IF(OR(B$11="No Filing Date","Enter Filing Date",E$11&lt;D$11),"Error in Filing Date",IF('R8a - Tax Reconciliation'!B$11="Original Filing",D25-I25,E25-I25)),IF(OR(B$11="No Filing Date","Enter Filing Date"),"Error in Filing Date",IF('R8a - Tax Reconciliation'!B$11="Original Filing",D25-I25,E25-I25)))</f>
        <v>0</v>
      </c>
      <c r="L25" s="1133"/>
      <c r="M25" s="1134"/>
      <c r="N25" s="1190"/>
      <c r="O25" s="1190"/>
      <c r="P25" s="1190"/>
    </row>
    <row r="26" spans="1:17">
      <c r="A26" s="1106" t="s">
        <v>1646</v>
      </c>
      <c r="B26" s="1114"/>
      <c r="C26" s="1081" t="s">
        <v>1638</v>
      </c>
      <c r="D26" s="907"/>
      <c r="E26" s="907"/>
      <c r="F26" s="909"/>
      <c r="G26" s="1055" t="str">
        <f t="shared" si="2"/>
        <v>ET2 PCFM - see Tax Allowance in 'Finance &amp;Tax' worksheet</v>
      </c>
      <c r="H26" s="1027"/>
      <c r="I26" s="1162">
        <f t="shared" si="3"/>
        <v>0</v>
      </c>
      <c r="J26" s="1082"/>
      <c r="K26" s="1160">
        <f>IF(E$11&lt;&gt;"",IF(OR(B$11="No Filing Date","Enter Filing Date",E$11&lt;D$11),"Error in Filing Date",IF('R8a - Tax Reconciliation'!B$11="Original Filing",D26-I26,E26-I26)),IF(OR(B$11="No Filing Date","Enter Filing Date"),"Error in Filing Date",IF('R8a - Tax Reconciliation'!B$11="Original Filing",D26-I26,E26-I26)))</f>
        <v>0</v>
      </c>
      <c r="L26" s="1133"/>
      <c r="M26" s="1134"/>
      <c r="N26" s="1190"/>
      <c r="O26" s="1190"/>
      <c r="P26" s="1190"/>
    </row>
    <row r="27" spans="1:17">
      <c r="A27" s="1467" t="s">
        <v>1647</v>
      </c>
      <c r="B27" s="1468"/>
      <c r="C27" s="1081" t="s">
        <v>1638</v>
      </c>
      <c r="D27" s="907"/>
      <c r="E27" s="907"/>
      <c r="F27" s="909"/>
      <c r="G27" s="1055"/>
      <c r="H27" s="909"/>
      <c r="I27" s="909"/>
      <c r="J27" s="1082"/>
      <c r="K27" s="1082"/>
      <c r="L27" s="1133"/>
      <c r="M27" s="1134"/>
      <c r="N27" s="1190"/>
      <c r="O27" s="1190"/>
      <c r="P27" s="1190"/>
    </row>
    <row r="28" spans="1:17">
      <c r="A28" s="1467" t="s">
        <v>1648</v>
      </c>
      <c r="B28" s="1468"/>
      <c r="C28" s="1081" t="s">
        <v>1638</v>
      </c>
      <c r="D28" s="907"/>
      <c r="E28" s="907"/>
      <c r="F28" s="909"/>
      <c r="G28" s="1055"/>
      <c r="H28" s="909"/>
      <c r="I28" s="909"/>
      <c r="J28" s="1082"/>
      <c r="K28" s="1082"/>
      <c r="L28" s="1133"/>
      <c r="M28" s="1134"/>
      <c r="N28" s="1190"/>
      <c r="O28" s="1190"/>
      <c r="P28" s="1190"/>
    </row>
    <row r="29" spans="1:17">
      <c r="A29" s="1113" t="s">
        <v>1649</v>
      </c>
      <c r="B29" s="1114"/>
      <c r="C29" s="1081" t="s">
        <v>1638</v>
      </c>
      <c r="D29" s="907"/>
      <c r="E29" s="907"/>
      <c r="F29" s="909"/>
      <c r="G29" s="1055"/>
      <c r="H29" s="909"/>
      <c r="I29" s="909"/>
      <c r="J29" s="1082"/>
      <c r="K29" s="1082"/>
      <c r="L29" s="1133"/>
      <c r="M29" s="1134"/>
      <c r="N29" s="1190"/>
      <c r="O29" s="1190"/>
      <c r="P29" s="1190"/>
    </row>
    <row r="30" spans="1:17">
      <c r="A30" s="1113" t="s">
        <v>1650</v>
      </c>
      <c r="B30" s="1114"/>
      <c r="C30" s="1081" t="s">
        <v>1638</v>
      </c>
      <c r="D30" s="907"/>
      <c r="E30" s="907"/>
      <c r="F30" s="909"/>
      <c r="G30" s="1055"/>
      <c r="H30" s="909"/>
      <c r="I30" s="909"/>
      <c r="J30" s="1082"/>
      <c r="K30" s="1082"/>
      <c r="L30" s="1133"/>
      <c r="M30" s="1134"/>
      <c r="N30" s="1190"/>
      <c r="O30" s="1190"/>
      <c r="P30" s="1190"/>
    </row>
    <row r="31" spans="1:17">
      <c r="A31" s="1113"/>
      <c r="B31" s="1114"/>
      <c r="C31" s="1081"/>
      <c r="D31" s="1085"/>
      <c r="E31" s="1085"/>
      <c r="F31" s="909"/>
      <c r="G31" s="1055"/>
      <c r="H31" s="909"/>
      <c r="I31" s="909"/>
      <c r="J31" s="1082"/>
      <c r="K31" s="1082"/>
      <c r="L31" s="1133"/>
      <c r="M31" s="1134"/>
      <c r="N31" s="1190"/>
      <c r="O31" s="1190"/>
      <c r="P31" s="1190"/>
    </row>
    <row r="32" spans="1:17">
      <c r="A32" s="1124" t="s">
        <v>1651</v>
      </c>
      <c r="B32" s="1120"/>
      <c r="C32" s="1135" t="s">
        <v>1638</v>
      </c>
      <c r="D32" s="1121">
        <f>SUM(D23:D31)</f>
        <v>0</v>
      </c>
      <c r="E32" s="1121">
        <f>SUM(E23:E31)</f>
        <v>0</v>
      </c>
      <c r="F32" s="909"/>
      <c r="G32" s="1136" t="s">
        <v>1652</v>
      </c>
      <c r="H32" s="1121">
        <f>SUM(H23:H31)</f>
        <v>0</v>
      </c>
      <c r="I32" s="1121">
        <f>SUM(I23:I31)</f>
        <v>0</v>
      </c>
      <c r="J32" s="1082"/>
      <c r="K32" s="1121">
        <f>IF(E$11&lt;&gt;"",IF(OR(B$11="No Filing Date","Enter Filing Date",E$11&lt;D$11),"Error in Filing Date",IF('R8a - Tax Reconciliation'!B$11="Original Filing",D32-I32,E32-I32)),IF(OR(B$11="No Filing Date","Enter Filing Date"),"Error in Filing Date",IF('R8a - Tax Reconciliation'!B$11="Original Filing",D32-I32,E32-I32)))</f>
        <v>0</v>
      </c>
      <c r="L32" s="1133"/>
      <c r="M32" s="1137"/>
    </row>
    <row r="33" spans="1:17">
      <c r="A33" s="1125"/>
      <c r="B33" s="1088"/>
      <c r="C33" s="1081"/>
      <c r="D33" s="1082"/>
      <c r="E33" s="1082"/>
      <c r="F33" s="909"/>
      <c r="G33" s="1055"/>
      <c r="J33" s="1082"/>
      <c r="K33" s="1138"/>
      <c r="L33" s="1133"/>
      <c r="M33" s="1134"/>
      <c r="N33" s="1191"/>
      <c r="O33" s="1191"/>
      <c r="P33" s="1191"/>
    </row>
    <row r="34" spans="1:17">
      <c r="A34" s="1192" t="s">
        <v>1653</v>
      </c>
      <c r="B34" s="1189"/>
      <c r="C34" s="1081"/>
      <c r="D34" s="1085"/>
      <c r="E34" s="1085"/>
      <c r="F34" s="909"/>
      <c r="G34" s="1055"/>
      <c r="H34" s="909"/>
      <c r="I34" s="909"/>
      <c r="J34" s="1082"/>
      <c r="K34" s="1082"/>
      <c r="L34" s="1133"/>
      <c r="M34" s="1134"/>
      <c r="N34" s="1190"/>
      <c r="O34" s="1190"/>
      <c r="P34" s="1190"/>
    </row>
    <row r="35" spans="1:17">
      <c r="A35" s="1113"/>
      <c r="B35" s="1114"/>
      <c r="C35" s="1081"/>
      <c r="D35" s="1085"/>
      <c r="E35" s="1085"/>
      <c r="F35" s="909"/>
      <c r="G35" s="1055"/>
      <c r="H35" s="909"/>
      <c r="I35" s="909"/>
      <c r="J35" s="1082"/>
      <c r="K35" s="1082"/>
      <c r="L35" s="1133"/>
      <c r="M35" s="1134"/>
      <c r="N35" s="1190"/>
      <c r="O35" s="1190"/>
      <c r="P35" s="1190"/>
    </row>
    <row r="36" spans="1:17">
      <c r="A36" s="1477" t="s">
        <v>1654</v>
      </c>
      <c r="B36" s="1478"/>
      <c r="D36" s="1083"/>
      <c r="E36" s="1083"/>
      <c r="F36" s="1083"/>
      <c r="G36" s="1086"/>
      <c r="H36" s="1083"/>
      <c r="I36" s="1083"/>
      <c r="J36" s="1083"/>
      <c r="K36" s="1083"/>
      <c r="L36" s="1139"/>
      <c r="M36" s="1140"/>
      <c r="N36" s="1135"/>
      <c r="O36" s="1135"/>
      <c r="P36" s="1135"/>
      <c r="Q36" s="1135"/>
    </row>
    <row r="37" spans="1:17">
      <c r="A37" s="1467" t="s">
        <v>1655</v>
      </c>
      <c r="B37" s="1468"/>
      <c r="C37" s="1081" t="s">
        <v>1638</v>
      </c>
      <c r="D37" s="907"/>
      <c r="E37" s="907"/>
      <c r="F37" s="909"/>
      <c r="G37" s="1055"/>
      <c r="H37" s="909"/>
      <c r="I37" s="909"/>
      <c r="J37" s="1082"/>
      <c r="K37" s="909"/>
      <c r="L37" s="909"/>
      <c r="M37" s="909"/>
      <c r="N37" s="1135"/>
      <c r="O37" s="1135"/>
      <c r="P37" s="1135"/>
      <c r="Q37" s="1135"/>
    </row>
    <row r="38" spans="1:17">
      <c r="A38" s="1141"/>
      <c r="B38" s="1087"/>
      <c r="D38" s="1083"/>
      <c r="E38" s="1083"/>
      <c r="F38" s="1083"/>
      <c r="G38" s="1086"/>
      <c r="H38" s="1083"/>
      <c r="I38" s="1083"/>
      <c r="J38" s="1083"/>
      <c r="K38" s="909"/>
      <c r="L38" s="909"/>
      <c r="M38" s="909"/>
      <c r="N38" s="1135"/>
      <c r="O38" s="1135"/>
      <c r="P38" s="1135"/>
      <c r="Q38" s="1135"/>
    </row>
    <row r="39" spans="1:17" s="1081" customFormat="1">
      <c r="A39" s="1477" t="s">
        <v>1656</v>
      </c>
      <c r="B39" s="1478"/>
      <c r="C39" s="1068"/>
      <c r="D39" s="1083"/>
      <c r="E39" s="1083"/>
      <c r="F39" s="1083"/>
      <c r="G39" s="1086"/>
      <c r="H39" s="1083"/>
      <c r="I39" s="1083"/>
      <c r="J39" s="1083"/>
      <c r="K39" s="909"/>
      <c r="L39" s="909"/>
      <c r="M39" s="909"/>
    </row>
    <row r="40" spans="1:17" s="1081" customFormat="1">
      <c r="A40" s="1467" t="s">
        <v>1655</v>
      </c>
      <c r="B40" s="1468"/>
      <c r="C40" s="1081" t="s">
        <v>1638</v>
      </c>
      <c r="D40" s="907"/>
      <c r="E40" s="907"/>
      <c r="F40" s="909"/>
      <c r="G40" s="1055"/>
      <c r="H40" s="909"/>
      <c r="I40" s="909"/>
      <c r="J40" s="1082"/>
      <c r="K40" s="909"/>
      <c r="L40" s="909"/>
      <c r="M40" s="909"/>
    </row>
    <row r="41" spans="1:17">
      <c r="A41" s="1141"/>
      <c r="B41" s="1142"/>
      <c r="D41" s="1083"/>
      <c r="E41" s="1083"/>
      <c r="F41" s="1083"/>
      <c r="G41" s="1086"/>
      <c r="H41" s="1083"/>
      <c r="I41" s="1083"/>
      <c r="J41" s="1083"/>
      <c r="K41" s="909"/>
      <c r="L41" s="909"/>
      <c r="M41" s="909"/>
      <c r="N41" s="1135"/>
      <c r="O41" s="1135"/>
      <c r="P41" s="1135"/>
      <c r="Q41" s="1135"/>
    </row>
    <row r="42" spans="1:17">
      <c r="A42" s="1477" t="s">
        <v>1657</v>
      </c>
      <c r="B42" s="1478"/>
      <c r="D42" s="1083"/>
      <c r="E42" s="1083"/>
      <c r="F42" s="1083"/>
      <c r="G42" s="1086"/>
      <c r="H42" s="1083"/>
      <c r="I42" s="1083"/>
      <c r="J42" s="1083"/>
      <c r="K42" s="909"/>
      <c r="L42" s="909"/>
      <c r="M42" s="909"/>
      <c r="N42" s="1135"/>
      <c r="O42" s="1135"/>
      <c r="P42" s="1135"/>
      <c r="Q42" s="1135"/>
    </row>
    <row r="43" spans="1:17" s="1081" customFormat="1">
      <c r="A43" s="1479" t="s">
        <v>1655</v>
      </c>
      <c r="B43" s="1480"/>
      <c r="C43" s="1081" t="s">
        <v>1638</v>
      </c>
      <c r="D43" s="907"/>
      <c r="E43" s="907"/>
      <c r="F43" s="909"/>
      <c r="G43" s="1055"/>
      <c r="H43" s="909"/>
      <c r="I43" s="909"/>
      <c r="J43" s="1082"/>
      <c r="K43" s="909"/>
      <c r="L43" s="909"/>
      <c r="M43" s="909"/>
    </row>
    <row r="44" spans="1:17" s="1081" customFormat="1">
      <c r="A44" s="1088"/>
      <c r="B44" s="1088"/>
      <c r="D44" s="909"/>
      <c r="E44" s="909"/>
      <c r="F44" s="909"/>
      <c r="G44" s="1055"/>
      <c r="H44" s="909"/>
      <c r="I44" s="909"/>
      <c r="J44" s="1082"/>
      <c r="K44" s="1082"/>
      <c r="L44" s="1133"/>
      <c r="M44" s="1134"/>
      <c r="N44" s="1190"/>
      <c r="O44" s="1190"/>
      <c r="P44" s="1190"/>
      <c r="Q44" s="1190"/>
    </row>
    <row r="45" spans="1:17" s="1081" customFormat="1">
      <c r="A45" s="1124" t="s">
        <v>1658</v>
      </c>
      <c r="B45" s="1120"/>
      <c r="C45" s="1135" t="s">
        <v>1638</v>
      </c>
      <c r="D45" s="1121">
        <f>SUM(D32:D44)</f>
        <v>0</v>
      </c>
      <c r="E45" s="1121">
        <f>SUM(E32:E44)</f>
        <v>0</v>
      </c>
      <c r="F45" s="909"/>
      <c r="G45" s="1055"/>
      <c r="H45" s="1121">
        <f>SUM(H32:H44)</f>
        <v>0</v>
      </c>
      <c r="I45" s="1121">
        <f>SUM(I32:I44)</f>
        <v>0</v>
      </c>
      <c r="J45" s="1082"/>
      <c r="K45" s="1121">
        <f>IF(E$11&lt;&gt;"",IF(OR(B$11="No Filing Date","Enter Filing Date",E$11&lt;D$11),"Error in Filing Date",IF('R8a - Tax Reconciliation'!B$11="Original Filing",D45-I45,E45-I45)),IF(OR(B$11="No Filing Date","Enter Filing Date"),"Error in Filing Date",IF('R8a - Tax Reconciliation'!B$11="Original Filing",D45-I45,E45-I45)))</f>
        <v>0</v>
      </c>
      <c r="L45" s="1133"/>
      <c r="M45" s="1137"/>
      <c r="N45" s="1190"/>
      <c r="O45" s="1190"/>
      <c r="P45" s="1190"/>
      <c r="Q45" s="1190"/>
    </row>
    <row r="46" spans="1:17" s="1081" customFormat="1">
      <c r="A46" s="1089"/>
      <c r="B46" s="1089"/>
      <c r="C46" s="1068"/>
      <c r="D46" s="905"/>
      <c r="E46" s="905"/>
      <c r="F46" s="905"/>
      <c r="G46" s="1056"/>
      <c r="H46" s="905"/>
      <c r="I46" s="905"/>
      <c r="J46" s="1083"/>
      <c r="K46" s="1083"/>
      <c r="L46" s="1139"/>
      <c r="M46" s="1140"/>
      <c r="N46" s="1190"/>
      <c r="O46" s="1190"/>
      <c r="P46" s="1190"/>
      <c r="Q46" s="1190"/>
    </row>
    <row r="47" spans="1:17" s="1081" customFormat="1">
      <c r="A47" s="1193" t="s">
        <v>1659</v>
      </c>
      <c r="B47" s="1194"/>
      <c r="C47" s="1068"/>
      <c r="D47" s="905"/>
      <c r="E47" s="905"/>
      <c r="F47" s="905"/>
      <c r="G47" s="1056"/>
      <c r="H47" s="905"/>
      <c r="I47" s="905"/>
      <c r="J47" s="1083"/>
      <c r="K47" s="1083"/>
      <c r="L47" s="1139"/>
      <c r="M47" s="1140"/>
      <c r="N47" s="1190"/>
      <c r="O47" s="1190"/>
      <c r="P47" s="1190"/>
      <c r="Q47" s="1190"/>
    </row>
    <row r="48" spans="1:17" s="1081" customFormat="1">
      <c r="A48" s="1090"/>
      <c r="B48" s="1091"/>
      <c r="C48" s="1068"/>
      <c r="D48" s="905"/>
      <c r="E48" s="905"/>
      <c r="F48" s="905"/>
      <c r="G48" s="1056"/>
      <c r="H48" s="905"/>
      <c r="I48" s="905"/>
      <c r="J48" s="1083"/>
      <c r="K48" s="1083"/>
      <c r="L48" s="1139"/>
      <c r="M48" s="1140"/>
      <c r="N48" s="1190"/>
      <c r="O48" s="1190"/>
      <c r="P48" s="1190"/>
      <c r="Q48" s="1190"/>
    </row>
    <row r="49" spans="1:23" s="1081" customFormat="1">
      <c r="A49" s="1115" t="s">
        <v>1660</v>
      </c>
      <c r="B49" s="1091"/>
      <c r="C49" s="1068"/>
      <c r="D49" s="905"/>
      <c r="E49" s="905"/>
      <c r="F49" s="905"/>
      <c r="G49" s="1056"/>
      <c r="H49" s="905"/>
      <c r="I49" s="905"/>
      <c r="J49" s="1083"/>
      <c r="K49" s="1083"/>
      <c r="L49" s="1139"/>
      <c r="M49" s="1140"/>
      <c r="N49" s="1190"/>
      <c r="O49" s="1190"/>
      <c r="P49" s="1190"/>
      <c r="Q49" s="1190"/>
    </row>
    <row r="50" spans="1:23" s="1081" customFormat="1">
      <c r="A50" s="1113" t="s">
        <v>1661</v>
      </c>
      <c r="B50" s="1114"/>
      <c r="C50" s="1081" t="s">
        <v>1638</v>
      </c>
      <c r="D50" s="907"/>
      <c r="E50" s="907"/>
      <c r="F50" s="909"/>
      <c r="G50" s="1055"/>
      <c r="H50" s="907"/>
      <c r="I50" s="1162">
        <f t="shared" ref="I50:I62" si="4">1/(1-H$13)*H50</f>
        <v>0</v>
      </c>
      <c r="J50" s="1082"/>
      <c r="K50" s="1160">
        <f>IF(E$11&lt;&gt;"",IF(OR(B$11="No Filing Date","Enter Filing Date",E$11&lt;D$11),"Error in Filing Date",IF('R8a - Tax Reconciliation'!B$11="Original Filing",D50-I50,E50-I50)),IF(OR(B$11="No Filing Date","Enter Filing Date"),"Error in Filing Date",IF('R8a - Tax Reconciliation'!B$11="Original Filing",D50-I50,E50-I50)))</f>
        <v>0</v>
      </c>
      <c r="L50" s="1133"/>
      <c r="M50" s="1143"/>
    </row>
    <row r="51" spans="1:23" s="1081" customFormat="1">
      <c r="A51" s="1113" t="s">
        <v>1662</v>
      </c>
      <c r="B51" s="1114"/>
      <c r="C51" s="1081" t="s">
        <v>1638</v>
      </c>
      <c r="D51" s="907"/>
      <c r="E51" s="907"/>
      <c r="F51" s="909"/>
      <c r="G51" s="1055"/>
      <c r="H51" s="907"/>
      <c r="I51" s="1162">
        <f t="shared" si="4"/>
        <v>0</v>
      </c>
      <c r="J51" s="1082"/>
      <c r="K51" s="1160">
        <f>IF(E$11&lt;&gt;"",IF(OR(B$11="No Filing Date","Enter Filing Date",E$11&lt;D$11),"Error in Filing Date",IF('R8a - Tax Reconciliation'!B$11="Original Filing",D51-I51,E51-I51)),IF(OR(B$11="No Filing Date","Enter Filing Date"),"Error in Filing Date",IF('R8a - Tax Reconciliation'!B$11="Original Filing",D51-I51,E51-I51)))</f>
        <v>0</v>
      </c>
      <c r="L51" s="1133"/>
      <c r="M51" s="1143"/>
      <c r="N51" s="1190"/>
      <c r="O51" s="1190"/>
      <c r="P51" s="1190"/>
      <c r="Q51" s="1190"/>
    </row>
    <row r="52" spans="1:23" s="1081" customFormat="1">
      <c r="A52" s="1113" t="s">
        <v>1663</v>
      </c>
      <c r="B52" s="1114"/>
      <c r="C52" s="1081" t="s">
        <v>1638</v>
      </c>
      <c r="D52" s="907"/>
      <c r="E52" s="907"/>
      <c r="F52" s="909"/>
      <c r="G52" s="1055"/>
      <c r="H52" s="907"/>
      <c r="I52" s="1162">
        <f t="shared" si="4"/>
        <v>0</v>
      </c>
      <c r="J52" s="1082"/>
      <c r="K52" s="1160">
        <f>IF(E$11&lt;&gt;"",IF(OR(B$11="No Filing Date","Enter Filing Date",E$11&lt;D$11),"Error in Filing Date",IF('R8a - Tax Reconciliation'!B$11="Original Filing",D52-I52,E52-I52)),IF(OR(B$11="No Filing Date","Enter Filing Date"),"Error in Filing Date",IF('R8a - Tax Reconciliation'!B$11="Original Filing",D52-I52,E52-I52)))</f>
        <v>0</v>
      </c>
      <c r="L52" s="1133"/>
      <c r="M52" s="1143"/>
    </row>
    <row r="53" spans="1:23">
      <c r="A53" s="1113" t="s">
        <v>1650</v>
      </c>
      <c r="B53" s="1114"/>
      <c r="C53" s="1081" t="s">
        <v>1638</v>
      </c>
      <c r="D53" s="907"/>
      <c r="E53" s="907"/>
      <c r="F53" s="909"/>
      <c r="G53" s="1055"/>
      <c r="H53" s="907"/>
      <c r="I53" s="1162">
        <f t="shared" si="4"/>
        <v>0</v>
      </c>
      <c r="J53" s="1082"/>
      <c r="K53" s="1160">
        <f>IF(E$11&lt;&gt;"",IF(OR(B$11="No Filing Date","Enter Filing Date",E$11&lt;D$11),"Error in Filing Date",IF('R8a - Tax Reconciliation'!B$11="Original Filing",D53-I53,E53-I53)),IF(OR(B$11="No Filing Date","Enter Filing Date"),"Error in Filing Date",IF('R8a - Tax Reconciliation'!B$11="Original Filing",D53-I53,E53-I53)))</f>
        <v>0</v>
      </c>
      <c r="L53" s="1133"/>
      <c r="M53" s="1143"/>
      <c r="N53" s="1135"/>
      <c r="O53" s="1135"/>
      <c r="P53" s="1135"/>
      <c r="Q53" s="1135"/>
    </row>
    <row r="54" spans="1:23">
      <c r="A54" s="1092" t="s">
        <v>1664</v>
      </c>
      <c r="B54" s="1144"/>
      <c r="C54" s="1081" t="s">
        <v>1638</v>
      </c>
      <c r="D54" s="907"/>
      <c r="E54" s="907"/>
      <c r="F54" s="909"/>
      <c r="G54" s="1055"/>
      <c r="H54" s="907"/>
      <c r="I54" s="1162">
        <f t="shared" si="4"/>
        <v>0</v>
      </c>
      <c r="J54" s="1082"/>
      <c r="K54" s="1160">
        <f>IF(E$11&lt;&gt;"",IF(OR(B$11="No Filing Date","Enter Filing Date",E$11&lt;D$11),"Error in Filing Date",IF('R8a - Tax Reconciliation'!B$11="Original Filing",D54-I54,E54-I54)),IF(OR(B$11="No Filing Date","Enter Filing Date"),"Error in Filing Date",IF('R8a - Tax Reconciliation'!B$11="Original Filing",D54-I54,E54-I54)))</f>
        <v>0</v>
      </c>
      <c r="L54" s="1081"/>
      <c r="M54" s="1143"/>
    </row>
    <row r="55" spans="1:23">
      <c r="A55" s="1467" t="s">
        <v>1665</v>
      </c>
      <c r="B55" s="1468"/>
      <c r="C55" s="1081" t="s">
        <v>1638</v>
      </c>
      <c r="D55" s="907"/>
      <c r="E55" s="907"/>
      <c r="F55" s="908"/>
      <c r="G55" s="1055"/>
      <c r="H55" s="907"/>
      <c r="I55" s="1162">
        <f t="shared" si="4"/>
        <v>0</v>
      </c>
      <c r="J55" s="1145"/>
      <c r="K55" s="1160">
        <f>IF(E$11&lt;&gt;"",IF(OR(B$11="No Filing Date","Enter Filing Date",E$11&lt;D$11),"Error in Filing Date",IF('R8a - Tax Reconciliation'!B$11="Original Filing",D55-I55,E55-I55)),IF(OR(B$11="No Filing Date","Enter Filing Date"),"Error in Filing Date",IF('R8a - Tax Reconciliation'!B$11="Original Filing",D55-I55,E55-I55)))</f>
        <v>0</v>
      </c>
      <c r="L55" s="1133"/>
      <c r="M55" s="1143"/>
    </row>
    <row r="56" spans="1:23">
      <c r="A56" s="1093" t="s">
        <v>1666</v>
      </c>
      <c r="B56" s="1144"/>
      <c r="C56" s="1081" t="s">
        <v>1638</v>
      </c>
      <c r="D56" s="907"/>
      <c r="E56" s="907"/>
      <c r="F56" s="1082"/>
      <c r="G56" s="1055" t="str">
        <f t="shared" ref="G56" si="5">IF($B$4="ESO2", $B$4&amp; " " &amp;"PCFM - see Tax Allowance in 'System Operator' worksheet",  $B$4&amp; " " &amp;"PCFM - see Tax Allowance in 'Finance &amp;Tax' worksheet")</f>
        <v>ET2 PCFM - see Tax Allowance in 'Finance &amp;Tax' worksheet</v>
      </c>
      <c r="H56" s="1027"/>
      <c r="I56" s="1162">
        <f t="shared" si="4"/>
        <v>0</v>
      </c>
      <c r="J56" s="1146"/>
      <c r="K56" s="1160">
        <f>IF(E$11&lt;&gt;"",IF(OR(B$11="No Filing Date","Enter Filing Date",E$11&lt;D$11),"Error in Filing Date",IF('R8a - Tax Reconciliation'!B$11="Original Filing",D56-I56,E56-I56)),IF(OR(B$11="No Filing Date","Enter Filing Date"),"Error in Filing Date",IF('R8a - Tax Reconciliation'!B$11="Original Filing",D56-I56,E56-I56)))</f>
        <v>0</v>
      </c>
      <c r="L56" s="1133"/>
      <c r="M56" s="1143"/>
    </row>
    <row r="57" spans="1:23">
      <c r="A57" s="1113" t="s">
        <v>1667</v>
      </c>
      <c r="B57" s="1114"/>
      <c r="C57" s="1081" t="s">
        <v>1638</v>
      </c>
      <c r="D57" s="907"/>
      <c r="E57" s="907"/>
      <c r="F57" s="909"/>
      <c r="G57" s="1055"/>
      <c r="H57" s="907"/>
      <c r="I57" s="1162">
        <f t="shared" si="4"/>
        <v>0</v>
      </c>
      <c r="J57" s="1082"/>
      <c r="K57" s="1160">
        <f>IF(E$11&lt;&gt;"",IF(OR(B$11="No Filing Date","Enter Filing Date",E$11&lt;D$11),"Error in Filing Date",IF('R8a - Tax Reconciliation'!B$11="Original Filing",D57-I57,E57-I57)),IF(OR(B$11="No Filing Date","Enter Filing Date"),"Error in Filing Date",IF('R8a - Tax Reconciliation'!B$11="Original Filing",D57-I57,E57-I57)))</f>
        <v>0</v>
      </c>
      <c r="L57" s="1133"/>
      <c r="M57" s="1143"/>
      <c r="N57" s="1135"/>
      <c r="O57" s="1135"/>
      <c r="P57" s="1135"/>
      <c r="Q57" s="1135"/>
    </row>
    <row r="58" spans="1:23">
      <c r="A58" s="1113" t="s">
        <v>1668</v>
      </c>
      <c r="B58" s="1114"/>
      <c r="C58" s="1081" t="s">
        <v>1638</v>
      </c>
      <c r="D58" s="907"/>
      <c r="E58" s="907"/>
      <c r="F58" s="909"/>
      <c r="G58" s="1055"/>
      <c r="H58" s="907"/>
      <c r="I58" s="1162">
        <f t="shared" si="4"/>
        <v>0</v>
      </c>
      <c r="J58" s="1082"/>
      <c r="K58" s="1160">
        <f>IF(E$11&lt;&gt;"",IF(OR(B$11="No Filing Date","Enter Filing Date",E$11&lt;D$11),"Error in Filing Date",IF('R8a - Tax Reconciliation'!B$11="Original Filing",D58-I58,E58-I58)),IF(OR(B$11="No Filing Date","Enter Filing Date"),"Error in Filing Date",IF('R8a - Tax Reconciliation'!B$11="Original Filing",D58-I58,E58-I58)))</f>
        <v>0</v>
      </c>
      <c r="L58" s="1133"/>
      <c r="M58" s="1143"/>
      <c r="N58" s="1190"/>
      <c r="O58" s="1190"/>
      <c r="P58" s="1190"/>
      <c r="Q58" s="1190"/>
      <c r="R58" s="1081"/>
      <c r="S58" s="1081"/>
      <c r="T58" s="1081"/>
      <c r="U58" s="1081"/>
      <c r="V58" s="1081"/>
      <c r="W58" s="1081"/>
    </row>
    <row r="59" spans="1:23">
      <c r="A59" s="1113" t="s">
        <v>1669</v>
      </c>
      <c r="B59" s="1114"/>
      <c r="C59" s="1081" t="s">
        <v>1638</v>
      </c>
      <c r="D59" s="907"/>
      <c r="E59" s="907"/>
      <c r="F59" s="909"/>
      <c r="G59" s="1055"/>
      <c r="H59" s="907"/>
      <c r="I59" s="1162">
        <f t="shared" si="4"/>
        <v>0</v>
      </c>
      <c r="J59" s="1082"/>
      <c r="K59" s="1160">
        <f>IF(E$11&lt;&gt;"",IF(OR(B$11="No Filing Date","Enter Filing Date",E$11&lt;D$11),"Error in Filing Date",IF('R8a - Tax Reconciliation'!B$11="Original Filing",D59-I59,E59-I59)),IF(OR(B$11="No Filing Date","Enter Filing Date"),"Error in Filing Date",IF('R8a - Tax Reconciliation'!B$11="Original Filing",D59-I59,E59-I59)))</f>
        <v>0</v>
      </c>
      <c r="L59" s="1133"/>
      <c r="M59" s="1143"/>
      <c r="N59" s="1190"/>
      <c r="O59" s="1190"/>
      <c r="P59" s="1190"/>
      <c r="Q59" s="1190"/>
      <c r="R59" s="1081"/>
      <c r="S59" s="1081"/>
      <c r="T59" s="1081"/>
      <c r="U59" s="1081"/>
      <c r="V59" s="1081"/>
      <c r="W59" s="1081"/>
    </row>
    <row r="60" spans="1:23">
      <c r="A60" s="1113" t="s">
        <v>1670</v>
      </c>
      <c r="B60" s="1114"/>
      <c r="C60" s="1081" t="s">
        <v>1638</v>
      </c>
      <c r="D60" s="907"/>
      <c r="E60" s="907"/>
      <c r="F60" s="909"/>
      <c r="G60" s="1055"/>
      <c r="H60" s="907"/>
      <c r="I60" s="1162">
        <f t="shared" si="4"/>
        <v>0</v>
      </c>
      <c r="J60" s="1082"/>
      <c r="K60" s="1160">
        <f>IF(E$11&lt;&gt;"",IF(OR(B$11="No Filing Date","Enter Filing Date",E$11&lt;D$11),"Error in Filing Date",IF('R8a - Tax Reconciliation'!B$11="Original Filing",D60-I60,E60-I60)),IF(OR(B$11="No Filing Date","Enter Filing Date"),"Error in Filing Date",IF('R8a - Tax Reconciliation'!B$11="Original Filing",D60-I60,E60-I60)))</f>
        <v>0</v>
      </c>
      <c r="L60" s="1133"/>
      <c r="M60" s="1143"/>
    </row>
    <row r="61" spans="1:23">
      <c r="A61" s="1113" t="s">
        <v>1671</v>
      </c>
      <c r="B61" s="1114"/>
      <c r="C61" s="1081" t="s">
        <v>1638</v>
      </c>
      <c r="D61" s="907"/>
      <c r="E61" s="907"/>
      <c r="F61" s="909"/>
      <c r="G61" s="1055"/>
      <c r="H61" s="907"/>
      <c r="I61" s="1162">
        <f t="shared" si="4"/>
        <v>0</v>
      </c>
      <c r="J61" s="1082"/>
      <c r="K61" s="1160">
        <f>IF(E$11&lt;&gt;"",IF(OR(B$11="No Filing Date","Enter Filing Date",E$11&lt;D$11),"Error in Filing Date",IF('R8a - Tax Reconciliation'!B$11="Original Filing",D61-I61,E61-I61)),IF(OR(B$11="No Filing Date","Enter Filing Date"),"Error in Filing Date",IF('R8a - Tax Reconciliation'!B$11="Original Filing",D61-I61,E61-I61)))</f>
        <v>0</v>
      </c>
      <c r="L61" s="1133"/>
      <c r="M61" s="1143"/>
    </row>
    <row r="62" spans="1:23">
      <c r="A62" s="1093" t="s">
        <v>1655</v>
      </c>
      <c r="B62" s="1144"/>
      <c r="C62" s="1081" t="s">
        <v>1638</v>
      </c>
      <c r="D62" s="907"/>
      <c r="E62" s="907"/>
      <c r="F62" s="1082"/>
      <c r="G62" s="1055"/>
      <c r="H62" s="907"/>
      <c r="I62" s="1162">
        <f t="shared" si="4"/>
        <v>0</v>
      </c>
      <c r="J62" s="1082"/>
      <c r="K62" s="1160">
        <f>IF(E$11&lt;&gt;"",IF(OR(B$11="No Filing Date","Enter Filing Date",E$11&lt;D$11),"Error in Filing Date",IF('R8a - Tax Reconciliation'!B$11="Original Filing",D62-I62,E62-I62)),IF(OR(B$11="No Filing Date","Enter Filing Date"),"Error in Filing Date",IF('R8a - Tax Reconciliation'!B$11="Original Filing",D62-I62,E62-I62)))</f>
        <v>0</v>
      </c>
      <c r="L62" s="1133"/>
      <c r="M62" s="1137"/>
    </row>
    <row r="63" spans="1:23">
      <c r="A63" s="1141"/>
      <c r="B63" s="1142"/>
      <c r="D63" s="1083"/>
      <c r="E63" s="1083"/>
      <c r="F63" s="1083"/>
      <c r="G63" s="1086"/>
      <c r="H63" s="1083"/>
      <c r="I63" s="1083"/>
      <c r="J63" s="1083"/>
      <c r="K63" s="1083"/>
      <c r="L63" s="1139"/>
      <c r="M63" s="1140"/>
      <c r="N63" s="1135"/>
      <c r="O63" s="1135"/>
      <c r="P63" s="1135"/>
      <c r="Q63" s="1135"/>
    </row>
    <row r="64" spans="1:23">
      <c r="A64" s="1084" t="s">
        <v>1672</v>
      </c>
      <c r="B64" s="1142"/>
      <c r="D64" s="1083"/>
      <c r="E64" s="1083"/>
      <c r="F64" s="1083"/>
      <c r="G64" s="1086"/>
      <c r="H64" s="1083"/>
      <c r="I64" s="1083"/>
      <c r="J64" s="1083"/>
      <c r="K64" s="1083"/>
      <c r="L64" s="1139"/>
      <c r="M64" s="1140"/>
    </row>
    <row r="65" spans="1:18">
      <c r="A65" s="1093" t="s">
        <v>1673</v>
      </c>
      <c r="B65" s="1144"/>
      <c r="C65" s="1081" t="s">
        <v>1638</v>
      </c>
      <c r="D65" s="907"/>
      <c r="E65" s="907"/>
      <c r="F65" s="1082"/>
      <c r="G65" s="1055" t="str">
        <f t="shared" ref="G65:G67" si="6">IF($B$4="ESO2", $B$4&amp; " " &amp;"PCFM - see Tax Allowance in 'System Operator' worksheet",  $B$4&amp; " " &amp;"PCFM - see Tax Allowance in 'Finance &amp;Tax' worksheet")</f>
        <v>ET2 PCFM - see Tax Allowance in 'Finance &amp;Tax' worksheet</v>
      </c>
      <c r="H65" s="1027"/>
      <c r="I65" s="1162">
        <f>1/(1-H$13)*H65</f>
        <v>0</v>
      </c>
      <c r="J65" s="1146"/>
      <c r="K65" s="1160">
        <f>IF(E$11&lt;&gt;"",IF(OR(B$11="No Filing Date","Enter Filing Date",E$11&lt;D$11),"Error in Filing Date",IF('R8a - Tax Reconciliation'!B$11="Original Filing",D65-I65,E65-I65)),IF(OR(B$11="No Filing Date","Enter Filing Date"),"Error in Filing Date",IF('R8a - Tax Reconciliation'!B$11="Original Filing",D65-I65,E65-I65)))</f>
        <v>0</v>
      </c>
      <c r="L65" s="1133"/>
      <c r="M65" s="1143"/>
      <c r="N65" s="1135"/>
      <c r="O65" s="1135"/>
      <c r="P65" s="1135"/>
      <c r="Q65" s="1135"/>
    </row>
    <row r="66" spans="1:18">
      <c r="A66" s="1093" t="s">
        <v>1674</v>
      </c>
      <c r="B66" s="1144"/>
      <c r="C66" s="1081" t="s">
        <v>1638</v>
      </c>
      <c r="D66" s="907"/>
      <c r="E66" s="907"/>
      <c r="F66" s="1082"/>
      <c r="G66" s="1055" t="str">
        <f t="shared" si="6"/>
        <v>ET2 PCFM - see Tax Allowance in 'Finance &amp;Tax' worksheet</v>
      </c>
      <c r="H66" s="1027"/>
      <c r="I66" s="1162">
        <f t="shared" ref="I66:I67" si="7">1/(1-H$13)*H66</f>
        <v>0</v>
      </c>
      <c r="J66" s="1146"/>
      <c r="K66" s="1160">
        <f>IF(E$11&lt;&gt;"",IF(OR(B$11="No Filing Date","Enter Filing Date",E$11&lt;D$11),"Error in Filing Date",IF('R8a - Tax Reconciliation'!B$11="Original Filing",D66-I66,E66-I66)),IF(OR(B$11="No Filing Date","Enter Filing Date"),"Error in Filing Date",IF('R8a - Tax Reconciliation'!B$11="Original Filing",D66-I66,E66-I66)))</f>
        <v>0</v>
      </c>
      <c r="L66" s="1133"/>
      <c r="M66" s="1143"/>
      <c r="N66" s="1135"/>
      <c r="O66" s="1135"/>
      <c r="P66" s="1135"/>
      <c r="Q66" s="1135"/>
    </row>
    <row r="67" spans="1:18">
      <c r="A67" s="1093" t="s">
        <v>1675</v>
      </c>
      <c r="B67" s="1144"/>
      <c r="C67" s="1081" t="s">
        <v>1638</v>
      </c>
      <c r="D67" s="907"/>
      <c r="E67" s="907"/>
      <c r="F67" s="1082"/>
      <c r="G67" s="1055" t="str">
        <f t="shared" si="6"/>
        <v>ET2 PCFM - see Tax Allowance in 'Finance &amp;Tax' worksheet</v>
      </c>
      <c r="H67" s="1027"/>
      <c r="I67" s="1162">
        <f t="shared" si="7"/>
        <v>0</v>
      </c>
      <c r="J67" s="1146"/>
      <c r="K67" s="1160">
        <f>IF(E$11&lt;&gt;"",IF(OR(B$11="No Filing Date","Enter Filing Date",E$11&lt;D$11),"Error in Filing Date",IF('R8a - Tax Reconciliation'!B$11="Original Filing",D67-I67,E67-I67)),IF(OR(B$11="No Filing Date","Enter Filing Date"),"Error in Filing Date",IF('R8a - Tax Reconciliation'!B$11="Original Filing",D67-I67,E67-I67)))</f>
        <v>0</v>
      </c>
      <c r="L67" s="1133"/>
      <c r="M67" s="1143"/>
      <c r="N67" s="1135"/>
      <c r="O67" s="1135"/>
      <c r="P67" s="1135"/>
      <c r="Q67" s="1135"/>
    </row>
    <row r="68" spans="1:18">
      <c r="A68" s="1093" t="s">
        <v>1676</v>
      </c>
      <c r="B68" s="1144"/>
      <c r="C68" s="1081" t="s">
        <v>1638</v>
      </c>
      <c r="D68" s="907"/>
      <c r="E68" s="907"/>
      <c r="F68" s="1082"/>
      <c r="G68" s="1055"/>
      <c r="H68" s="907"/>
      <c r="I68" s="1162">
        <f>1/(1-H$13)*H68</f>
        <v>0</v>
      </c>
      <c r="J68" s="1082"/>
      <c r="K68" s="1160">
        <f>IF(E$11&lt;&gt;"",IF(OR(B$11="No Filing Date","Enter Filing Date",E$11&lt;D$11),"Error in Filing Date",IF('R8a - Tax Reconciliation'!B$11="Original Filing",D68-I68,E68-I68)),IF(OR(B$11="No Filing Date","Enter Filing Date"),"Error in Filing Date",IF('R8a - Tax Reconciliation'!B$11="Original Filing",D68-I68,E68-I68)))</f>
        <v>0</v>
      </c>
      <c r="L68" s="1133"/>
      <c r="M68" s="1143"/>
      <c r="N68" s="1135"/>
      <c r="O68" s="1135"/>
      <c r="P68" s="1135"/>
      <c r="Q68" s="1135"/>
    </row>
    <row r="69" spans="1:18" s="1081" customFormat="1">
      <c r="A69" s="1093" t="s">
        <v>1677</v>
      </c>
      <c r="B69" s="1144"/>
      <c r="C69" s="1081" t="s">
        <v>1638</v>
      </c>
      <c r="D69" s="907"/>
      <c r="E69" s="907"/>
      <c r="F69" s="1082"/>
      <c r="G69" s="1055"/>
      <c r="H69" s="907"/>
      <c r="I69" s="1162">
        <f>1/(1-H$13)*H69</f>
        <v>0</v>
      </c>
      <c r="J69" s="1082"/>
      <c r="K69" s="1160">
        <f>IF(E$11&lt;&gt;"",IF(OR(B$11="No Filing Date","Enter Filing Date",E$11&lt;D$11),"Error in Filing Date",IF('R8a - Tax Reconciliation'!B$11="Original Filing",D69-I69,E69-I69)),IF(OR(B$11="No Filing Date","Enter Filing Date"),"Error in Filing Date",IF('R8a - Tax Reconciliation'!B$11="Original Filing",D69-I69,E69-I69)))</f>
        <v>0</v>
      </c>
      <c r="L69" s="1133"/>
      <c r="M69" s="1143"/>
    </row>
    <row r="70" spans="1:18">
      <c r="A70" s="1093" t="s">
        <v>1678</v>
      </c>
      <c r="B70" s="1144"/>
      <c r="C70" s="1081" t="s">
        <v>1638</v>
      </c>
      <c r="D70" s="907"/>
      <c r="E70" s="907"/>
      <c r="F70" s="1082"/>
      <c r="G70" s="1055"/>
      <c r="H70" s="907"/>
      <c r="I70" s="1162">
        <f>1/(1-H$13)*H70</f>
        <v>0</v>
      </c>
      <c r="J70" s="1082"/>
      <c r="K70" s="1160">
        <f>IF(E$11&lt;&gt;"",IF(OR(B$11="No Filing Date","Enter Filing Date",E$11&lt;D$11),"Error in Filing Date",IF('R8a - Tax Reconciliation'!B$11="Original Filing",D70-I70,E70-I70)),IF(OR(B$11="No Filing Date","Enter Filing Date"),"Error in Filing Date",IF('R8a - Tax Reconciliation'!B$11="Original Filing",D70-I70,E70-I70)))</f>
        <v>0</v>
      </c>
      <c r="L70" s="1133"/>
      <c r="M70" s="1143"/>
      <c r="N70" s="1135"/>
      <c r="O70" s="1135"/>
      <c r="P70" s="1135"/>
      <c r="Q70" s="1135"/>
    </row>
    <row r="71" spans="1:18">
      <c r="A71" s="1093" t="s">
        <v>1655</v>
      </c>
      <c r="B71" s="1144"/>
      <c r="C71" s="1135" t="s">
        <v>1638</v>
      </c>
      <c r="D71" s="907"/>
      <c r="E71" s="907"/>
      <c r="F71" s="1082"/>
      <c r="G71" s="1055"/>
      <c r="H71" s="907"/>
      <c r="I71" s="1162">
        <f>1/(1-H$13)*H71</f>
        <v>0</v>
      </c>
      <c r="J71" s="1082"/>
      <c r="K71" s="1160">
        <f>IF(E$11&lt;&gt;"",IF(OR(B$11="No Filing Date","Enter Filing Date",E$11&lt;D$11),"Error in Filing Date",IF('R8a - Tax Reconciliation'!B$11="Original Filing",D71-I71,E71-I71)),IF(OR(B$11="No Filing Date","Enter Filing Date"),"Error in Filing Date",IF('R8a - Tax Reconciliation'!B$11="Original Filing",D71-I71,E71-I71)))</f>
        <v>0</v>
      </c>
      <c r="L71" s="1133"/>
      <c r="M71" s="1137"/>
      <c r="N71" s="1135"/>
      <c r="O71" s="1135"/>
      <c r="P71" s="1135"/>
      <c r="Q71" s="1135"/>
    </row>
    <row r="72" spans="1:18" s="1081" customFormat="1">
      <c r="A72" s="1481"/>
      <c r="B72" s="1482"/>
      <c r="C72" s="1068"/>
      <c r="D72" s="1083"/>
      <c r="E72" s="1083"/>
      <c r="F72" s="1083"/>
      <c r="G72" s="1086"/>
      <c r="H72" s="1083"/>
      <c r="I72" s="1083"/>
      <c r="J72" s="1083"/>
      <c r="K72" s="1083"/>
      <c r="L72" s="1139"/>
      <c r="M72" s="1140"/>
    </row>
    <row r="73" spans="1:18" s="1081" customFormat="1">
      <c r="A73" s="1477" t="s">
        <v>1679</v>
      </c>
      <c r="B73" s="1478"/>
      <c r="C73" s="1068"/>
      <c r="D73" s="1083"/>
      <c r="E73" s="1083"/>
      <c r="F73" s="1083"/>
      <c r="G73" s="1086"/>
      <c r="H73" s="1083"/>
      <c r="I73" s="1083"/>
      <c r="J73" s="1083"/>
      <c r="K73" s="1083"/>
      <c r="L73" s="1139"/>
      <c r="M73" s="1140"/>
    </row>
    <row r="74" spans="1:18">
      <c r="A74" s="1080" t="s">
        <v>1680</v>
      </c>
      <c r="B74" s="1116"/>
      <c r="C74" s="1081" t="s">
        <v>1638</v>
      </c>
      <c r="D74" s="907"/>
      <c r="E74" s="907"/>
      <c r="F74" s="909"/>
      <c r="G74" s="1055"/>
      <c r="H74" s="907"/>
      <c r="I74" s="1162">
        <f t="shared" ref="I74:I80" si="8">1/(1-H$13)*H74</f>
        <v>0</v>
      </c>
      <c r="J74" s="1082"/>
      <c r="K74" s="1160">
        <f>IF(E$11&lt;&gt;"",IF(OR(B$11="No Filing Date","Enter Filing Date",E$11&lt;D$11),"Error in Filing Date",IF('R8a - Tax Reconciliation'!B$11="Original Filing",D74-I74,E74-I74)),IF(OR(B$11="No Filing Date","Enter Filing Date"),"Error in Filing Date",IF('R8a - Tax Reconciliation'!B$11="Original Filing",D74-I74,E74-I74)))</f>
        <v>0</v>
      </c>
      <c r="L74" s="1133"/>
      <c r="M74" s="1143"/>
      <c r="N74" s="1135"/>
      <c r="O74" s="1135"/>
      <c r="P74" s="1135"/>
      <c r="Q74" s="1135"/>
    </row>
    <row r="75" spans="1:18">
      <c r="A75" s="1080" t="s">
        <v>1681</v>
      </c>
      <c r="B75" s="1116"/>
      <c r="C75" s="1081" t="s">
        <v>1638</v>
      </c>
      <c r="D75" s="907"/>
      <c r="E75" s="907"/>
      <c r="F75" s="909"/>
      <c r="G75" s="1055"/>
      <c r="H75" s="907"/>
      <c r="I75" s="1162">
        <f t="shared" si="8"/>
        <v>0</v>
      </c>
      <c r="J75" s="1082"/>
      <c r="K75" s="1160">
        <f>IF(E$11&lt;&gt;"",IF(OR(B$11="No Filing Date","Enter Filing Date",E$11&lt;D$11),"Error in Filing Date",IF('R8a - Tax Reconciliation'!B$11="Original Filing",D75-I75,E75-I75)),IF(OR(B$11="No Filing Date","Enter Filing Date"),"Error in Filing Date",IF('R8a - Tax Reconciliation'!B$11="Original Filing",D75-I75,E75-I75)))</f>
        <v>0</v>
      </c>
      <c r="L75" s="1133"/>
      <c r="M75" s="1143"/>
      <c r="N75" s="1135"/>
      <c r="O75" s="1135"/>
      <c r="P75" s="1135"/>
      <c r="Q75" s="1135"/>
    </row>
    <row r="76" spans="1:18">
      <c r="A76" s="1113" t="s">
        <v>1682</v>
      </c>
      <c r="B76" s="1114"/>
      <c r="C76" s="1081" t="s">
        <v>1638</v>
      </c>
      <c r="D76" s="907"/>
      <c r="E76" s="907"/>
      <c r="F76" s="909"/>
      <c r="G76" s="1055"/>
      <c r="H76" s="907"/>
      <c r="I76" s="1162">
        <f t="shared" si="8"/>
        <v>0</v>
      </c>
      <c r="J76" s="1082"/>
      <c r="K76" s="1160">
        <f>IF(E$11&lt;&gt;"",IF(OR(B$11="No Filing Date","Enter Filing Date",E$11&lt;D$11),"Error in Filing Date",IF('R8a - Tax Reconciliation'!B$11="Original Filing",D76-I76,E76-I76)),IF(OR(B$11="No Filing Date","Enter Filing Date"),"Error in Filing Date",IF('R8a - Tax Reconciliation'!B$11="Original Filing",D76-I76,E76-I76)))</f>
        <v>0</v>
      </c>
      <c r="L76" s="1133"/>
      <c r="M76" s="1143"/>
      <c r="N76" s="1135"/>
      <c r="O76" s="1135"/>
      <c r="P76" s="1135"/>
      <c r="Q76" s="1135"/>
    </row>
    <row r="77" spans="1:18">
      <c r="A77" s="1113" t="s">
        <v>1683</v>
      </c>
      <c r="B77" s="1114"/>
      <c r="C77" s="1081" t="s">
        <v>1638</v>
      </c>
      <c r="D77" s="907"/>
      <c r="E77" s="907"/>
      <c r="F77" s="909"/>
      <c r="G77" s="1055"/>
      <c r="H77" s="907"/>
      <c r="I77" s="1162">
        <f t="shared" si="8"/>
        <v>0</v>
      </c>
      <c r="J77" s="1082"/>
      <c r="K77" s="1160">
        <f>IF(E$11&lt;&gt;"",IF(OR(B$11="No Filing Date","Enter Filing Date",E$11&lt;D$11),"Error in Filing Date",IF('R8a - Tax Reconciliation'!B$11="Original Filing",D77-I77,E77-I77)),IF(OR(B$11="No Filing Date","Enter Filing Date"),"Error in Filing Date",IF('R8a - Tax Reconciliation'!B$11="Original Filing",D77-I77,E77-I77)))</f>
        <v>0</v>
      </c>
      <c r="L77" s="1133"/>
      <c r="M77" s="1143"/>
      <c r="N77" s="1135"/>
      <c r="O77" s="1135"/>
      <c r="P77" s="1135"/>
      <c r="Q77" s="1135"/>
    </row>
    <row r="78" spans="1:18">
      <c r="A78" s="1113" t="s">
        <v>1684</v>
      </c>
      <c r="B78" s="1114"/>
      <c r="C78" s="1081" t="s">
        <v>1638</v>
      </c>
      <c r="D78" s="907"/>
      <c r="E78" s="907"/>
      <c r="F78" s="909"/>
      <c r="G78" s="1055"/>
      <c r="H78" s="907"/>
      <c r="I78" s="1162">
        <f t="shared" si="8"/>
        <v>0</v>
      </c>
      <c r="J78" s="1082"/>
      <c r="K78" s="1160">
        <f>IF(E$11&lt;&gt;"",IF(OR(B$11="No Filing Date","Enter Filing Date",E$11&lt;D$11),"Error in Filing Date",IF('R8a - Tax Reconciliation'!B$11="Original Filing",D78-I78,E78-I78)),IF(OR(B$11="No Filing Date","Enter Filing Date"),"Error in Filing Date",IF('R8a - Tax Reconciliation'!B$11="Original Filing",D78-I78,E78-I78)))</f>
        <v>0</v>
      </c>
      <c r="L78" s="1133"/>
      <c r="M78" s="1143"/>
      <c r="N78" s="1081"/>
      <c r="O78" s="1081"/>
      <c r="P78" s="1081"/>
      <c r="Q78" s="1081"/>
      <c r="R78" s="1081"/>
    </row>
    <row r="79" spans="1:18">
      <c r="A79" s="1113" t="s">
        <v>1685</v>
      </c>
      <c r="B79" s="1114"/>
      <c r="C79" s="1081" t="s">
        <v>1638</v>
      </c>
      <c r="D79" s="907"/>
      <c r="E79" s="907"/>
      <c r="F79" s="909"/>
      <c r="G79" s="1055"/>
      <c r="H79" s="907"/>
      <c r="I79" s="1162">
        <f t="shared" si="8"/>
        <v>0</v>
      </c>
      <c r="J79" s="1082"/>
      <c r="K79" s="1160">
        <f>IF(E$11&lt;&gt;"",IF(OR(B$11="No Filing Date","Enter Filing Date",E$11&lt;D$11),"Error in Filing Date",IF('R8a - Tax Reconciliation'!B$11="Original Filing",D79-I79,E79-I79)),IF(OR(B$11="No Filing Date","Enter Filing Date"),"Error in Filing Date",IF('R8a - Tax Reconciliation'!B$11="Original Filing",D79-I79,E79-I79)))</f>
        <v>0</v>
      </c>
      <c r="L79" s="1133"/>
      <c r="M79" s="1143"/>
      <c r="N79" s="1135"/>
      <c r="O79" s="1135"/>
      <c r="P79" s="1135"/>
      <c r="Q79" s="1135"/>
    </row>
    <row r="80" spans="1:18">
      <c r="A80" s="1128" t="s">
        <v>1655</v>
      </c>
      <c r="B80" s="1129"/>
      <c r="C80" s="1081" t="s">
        <v>1638</v>
      </c>
      <c r="D80" s="907"/>
      <c r="E80" s="907"/>
      <c r="F80" s="909"/>
      <c r="G80" s="1055"/>
      <c r="H80" s="907"/>
      <c r="I80" s="1162">
        <f t="shared" si="8"/>
        <v>0</v>
      </c>
      <c r="J80" s="1082"/>
      <c r="K80" s="1160">
        <f>IF(E$11&lt;&gt;"",IF(OR(B$11="No Filing Date","Enter Filing Date",E$11&lt;D$11),"Error in Filing Date",IF('R8a - Tax Reconciliation'!B$11="Original Filing",D80-I80,E80-I80)),IF(OR(B$11="No Filing Date","Enter Filing Date"),"Error in Filing Date",IF('R8a - Tax Reconciliation'!B$11="Original Filing",D80-I80,E80-I80)))</f>
        <v>0</v>
      </c>
      <c r="L80" s="1133"/>
      <c r="M80" s="1137"/>
      <c r="N80" s="1135"/>
      <c r="O80" s="1135"/>
      <c r="P80" s="1135"/>
      <c r="Q80" s="1135"/>
    </row>
    <row r="81" spans="1:18">
      <c r="D81" s="1147"/>
      <c r="E81" s="1147"/>
      <c r="F81" s="1083"/>
      <c r="G81" s="1086"/>
      <c r="H81" s="1147"/>
      <c r="I81" s="1083"/>
      <c r="J81" s="1083"/>
      <c r="K81" s="1083"/>
      <c r="L81" s="1139"/>
      <c r="M81" s="1140"/>
      <c r="N81" s="1135"/>
      <c r="O81" s="1135"/>
      <c r="P81" s="1135"/>
      <c r="Q81" s="1135"/>
    </row>
    <row r="82" spans="1:18">
      <c r="A82" s="1483" t="s">
        <v>1686</v>
      </c>
      <c r="B82" s="1484"/>
      <c r="C82" s="1144" t="s">
        <v>1638</v>
      </c>
      <c r="D82" s="1126">
        <f>SUM(D45:D81)</f>
        <v>0</v>
      </c>
      <c r="E82" s="1126">
        <f>SUM(E45:E81)</f>
        <v>0</v>
      </c>
      <c r="F82" s="908"/>
      <c r="G82" s="1148" t="s">
        <v>1687</v>
      </c>
      <c r="H82" s="1126">
        <f>SUM(H45:H81)</f>
        <v>0</v>
      </c>
      <c r="I82" s="1126">
        <f>SUM(I45:I81)</f>
        <v>0</v>
      </c>
      <c r="J82" s="1146"/>
      <c r="K82" s="1121">
        <f>IF(E$11&lt;&gt;"",IF(OR(B$11="No Filing Date","Enter Filing Date",E$11&lt;D$11),"Error in Filing Date",IF('R8a - Tax Reconciliation'!B$11="Original Filing",D82-I82,E82-I82)),IF(OR(B$11="No Filing Date","Enter Filing Date"),"Error in Filing Date",IF('R8a - Tax Reconciliation'!B$11="Original Filing",D82-I82,E82-I82)))</f>
        <v>0</v>
      </c>
      <c r="L82" s="1133"/>
      <c r="M82" s="1137"/>
      <c r="N82" s="1191"/>
      <c r="O82" s="1191"/>
      <c r="P82" s="1191"/>
      <c r="Q82" s="1191"/>
    </row>
    <row r="83" spans="1:18">
      <c r="A83" s="1149"/>
      <c r="B83" s="1149"/>
      <c r="C83" s="1081"/>
      <c r="D83" s="1094"/>
      <c r="E83" s="1094"/>
      <c r="F83" s="909"/>
      <c r="G83" s="909"/>
      <c r="H83" s="1094"/>
      <c r="I83" s="909"/>
      <c r="J83" s="1082"/>
      <c r="K83" s="1150"/>
      <c r="L83" s="1133"/>
      <c r="M83" s="1134"/>
      <c r="N83" s="1191"/>
      <c r="O83" s="1191"/>
      <c r="P83" s="1191"/>
      <c r="Q83" s="1191"/>
    </row>
    <row r="84" spans="1:18">
      <c r="A84" s="1192" t="s">
        <v>1688</v>
      </c>
      <c r="B84" s="1195"/>
      <c r="C84" s="1081"/>
      <c r="D84" s="909"/>
      <c r="E84" s="909"/>
      <c r="F84" s="909"/>
      <c r="G84" s="909"/>
      <c r="H84" s="909"/>
      <c r="I84" s="909"/>
      <c r="J84" s="1082"/>
      <c r="K84" s="1082"/>
      <c r="L84" s="1133"/>
      <c r="M84" s="1134"/>
      <c r="N84" s="1191"/>
      <c r="O84" s="1191"/>
      <c r="P84" s="1191"/>
      <c r="Q84" s="1191"/>
    </row>
    <row r="85" spans="1:18">
      <c r="A85" s="1151"/>
      <c r="B85" s="1152"/>
      <c r="C85" s="1081"/>
      <c r="D85" s="909"/>
      <c r="E85" s="909"/>
      <c r="F85" s="909"/>
      <c r="G85" s="909"/>
      <c r="H85" s="909"/>
      <c r="I85" s="909"/>
      <c r="J85" s="1082"/>
      <c r="K85" s="1082"/>
      <c r="L85" s="1133"/>
      <c r="M85" s="1134"/>
      <c r="N85" s="1191"/>
      <c r="O85" s="1191"/>
      <c r="P85" s="1191"/>
      <c r="Q85" s="1191"/>
      <c r="R85" s="1081"/>
    </row>
    <row r="86" spans="1:18">
      <c r="A86" s="1115" t="s">
        <v>1689</v>
      </c>
      <c r="B86" s="1153"/>
      <c r="D86" s="905"/>
      <c r="E86" s="906"/>
      <c r="F86" s="905"/>
      <c r="G86" s="1056"/>
      <c r="H86" s="906"/>
      <c r="I86" s="905"/>
      <c r="J86" s="1083"/>
      <c r="K86" s="1083"/>
      <c r="L86" s="1139"/>
      <c r="M86" s="1154"/>
      <c r="N86" s="1191"/>
      <c r="O86" s="1191"/>
      <c r="P86" s="1191"/>
      <c r="Q86" s="1191"/>
    </row>
    <row r="87" spans="1:18" s="1081" customFormat="1">
      <c r="A87" s="1113" t="s">
        <v>1690</v>
      </c>
      <c r="B87" s="1152"/>
      <c r="C87" s="1081" t="s">
        <v>1638</v>
      </c>
      <c r="D87" s="907"/>
      <c r="E87" s="907"/>
      <c r="F87" s="909"/>
      <c r="G87" s="1055" t="str">
        <f t="shared" ref="G87:G91" si="9">IF($B$4="ESO2", $B$4&amp; " " &amp;"PCFM - see Tax Allowance in 'System Operator' worksheet",  $B$4&amp; " " &amp;"PCFM - see Tax Allowance in 'Finance &amp;Tax' worksheet")</f>
        <v>ET2 PCFM - see Tax Allowance in 'Finance &amp;Tax' worksheet</v>
      </c>
      <c r="H87" s="1027"/>
      <c r="I87" s="1162">
        <f t="shared" ref="I87:I91" si="10">1/(1-H$13)*H87</f>
        <v>0</v>
      </c>
      <c r="J87" s="1082"/>
      <c r="K87" s="1160">
        <f>IF(E$11&lt;&gt;"",IF(OR(B$11="No Filing Date","Enter Filing Date",E$11&lt;D$11),"Error in Filing Date",IF('R8a - Tax Reconciliation'!B$11="Original Filing",D87-I87,E87-I87)),IF(OR(B$11="No Filing Date","Enter Filing Date"),"Error in Filing Date",IF('R8a - Tax Reconciliation'!B$11="Original Filing",D87-I87,E87-I87)))</f>
        <v>0</v>
      </c>
      <c r="L87" s="1133"/>
      <c r="M87" s="1143"/>
      <c r="N87" s="1191"/>
      <c r="O87" s="1191"/>
      <c r="P87" s="1191"/>
      <c r="Q87" s="1191"/>
    </row>
    <row r="88" spans="1:18" s="1081" customFormat="1">
      <c r="A88" s="1113" t="s">
        <v>1691</v>
      </c>
      <c r="B88" s="1152"/>
      <c r="C88" s="1081" t="s">
        <v>1638</v>
      </c>
      <c r="D88" s="907"/>
      <c r="E88" s="907"/>
      <c r="F88" s="909"/>
      <c r="G88" s="1055" t="str">
        <f t="shared" si="9"/>
        <v>ET2 PCFM - see Tax Allowance in 'Finance &amp;Tax' worksheet</v>
      </c>
      <c r="H88" s="1027"/>
      <c r="I88" s="1162">
        <f t="shared" si="10"/>
        <v>0</v>
      </c>
      <c r="J88" s="1082"/>
      <c r="K88" s="1160">
        <f>IF(E$11&lt;&gt;"",IF(OR(B$11="No Filing Date","Enter Filing Date",E$11&lt;D$11),"Error in Filing Date",IF('R8a - Tax Reconciliation'!B$11="Original Filing",D88-I88,E88-I88)),IF(OR(B$11="No Filing Date","Enter Filing Date"),"Error in Filing Date",IF('R8a - Tax Reconciliation'!B$11="Original Filing",D88-I88,E88-I88)))</f>
        <v>0</v>
      </c>
      <c r="L88" s="1133"/>
      <c r="M88" s="1143"/>
      <c r="N88" s="1191"/>
      <c r="O88" s="1191"/>
      <c r="P88" s="1191"/>
      <c r="Q88" s="1191"/>
    </row>
    <row r="89" spans="1:18" s="1081" customFormat="1">
      <c r="A89" s="1113" t="s">
        <v>1692</v>
      </c>
      <c r="B89" s="1152"/>
      <c r="C89" s="1081" t="s">
        <v>1638</v>
      </c>
      <c r="D89" s="907"/>
      <c r="E89" s="907"/>
      <c r="F89" s="909"/>
      <c r="G89" s="1055" t="str">
        <f t="shared" si="9"/>
        <v>ET2 PCFM - see Tax Allowance in 'Finance &amp;Tax' worksheet</v>
      </c>
      <c r="H89" s="1027"/>
      <c r="I89" s="1162">
        <f t="shared" si="10"/>
        <v>0</v>
      </c>
      <c r="J89" s="1082"/>
      <c r="K89" s="1160">
        <f>IF(E$11&lt;&gt;"",IF(OR(B$11="No Filing Date","Enter Filing Date",E$11&lt;D$11),"Error in Filing Date",IF('R8a - Tax Reconciliation'!B$11="Original Filing",D89-I89,E89-I89)),IF(OR(B$11="No Filing Date","Enter Filing Date"),"Error in Filing Date",IF('R8a - Tax Reconciliation'!B$11="Original Filing",D89-I89,E89-I89)))</f>
        <v>0</v>
      </c>
      <c r="L89" s="1133"/>
      <c r="M89" s="1143"/>
      <c r="N89" s="1191"/>
      <c r="O89" s="1191"/>
      <c r="P89" s="1191"/>
      <c r="Q89" s="1191"/>
    </row>
    <row r="90" spans="1:18" s="1081" customFormat="1">
      <c r="A90" s="1113" t="s">
        <v>1693</v>
      </c>
      <c r="B90" s="1152"/>
      <c r="C90" s="1081" t="s">
        <v>1638</v>
      </c>
      <c r="D90" s="907"/>
      <c r="E90" s="907"/>
      <c r="F90" s="909"/>
      <c r="G90" s="1055" t="str">
        <f t="shared" si="9"/>
        <v>ET2 PCFM - see Tax Allowance in 'Finance &amp;Tax' worksheet</v>
      </c>
      <c r="H90" s="1027"/>
      <c r="I90" s="1162">
        <f t="shared" si="10"/>
        <v>0</v>
      </c>
      <c r="J90" s="1082"/>
      <c r="K90" s="1160">
        <f>IF(E$11&lt;&gt;"",IF(OR(B$11="No Filing Date","Enter Filing Date",E$11&lt;D$11),"Error in Filing Date",IF('R8a - Tax Reconciliation'!B$11="Original Filing",D90-I90,E90-I90)),IF(OR(B$11="No Filing Date","Enter Filing Date"),"Error in Filing Date",IF('R8a - Tax Reconciliation'!B$11="Original Filing",D90-I90,E90-I90)))</f>
        <v>0</v>
      </c>
      <c r="L90" s="1133"/>
      <c r="M90" s="1143"/>
      <c r="N90" s="1191"/>
      <c r="O90" s="1191"/>
      <c r="P90" s="1191"/>
      <c r="Q90" s="1191"/>
    </row>
    <row r="91" spans="1:18" s="1081" customFormat="1">
      <c r="A91" s="1113" t="s">
        <v>1694</v>
      </c>
      <c r="B91" s="1152"/>
      <c r="C91" s="1081" t="s">
        <v>1638</v>
      </c>
      <c r="D91" s="907"/>
      <c r="E91" s="907"/>
      <c r="F91" s="909"/>
      <c r="G91" s="1055" t="str">
        <f t="shared" si="9"/>
        <v>ET2 PCFM - see Tax Allowance in 'Finance &amp;Tax' worksheet</v>
      </c>
      <c r="H91" s="1027"/>
      <c r="I91" s="1162">
        <f t="shared" si="10"/>
        <v>0</v>
      </c>
      <c r="J91" s="1082"/>
      <c r="K91" s="1160">
        <f>IF(E$11&lt;&gt;"",IF(OR(B$11="No Filing Date","Enter Filing Date",E$11&lt;D$11),"Error in Filing Date",IF('R8a - Tax Reconciliation'!B$11="Original Filing",D91-I91,E91-I91)),IF(OR(B$11="No Filing Date","Enter Filing Date"),"Error in Filing Date",IF('R8a - Tax Reconciliation'!B$11="Original Filing",D91-I91,E91-I91)))</f>
        <v>0</v>
      </c>
      <c r="L91" s="1133"/>
      <c r="M91" s="1143"/>
      <c r="N91" s="1191"/>
      <c r="O91" s="1191"/>
      <c r="P91" s="1191"/>
      <c r="Q91" s="1191"/>
    </row>
    <row r="92" spans="1:18" s="1081" customFormat="1">
      <c r="A92" s="1128" t="s">
        <v>1695</v>
      </c>
      <c r="B92" s="1129"/>
      <c r="C92" s="1081" t="s">
        <v>1638</v>
      </c>
      <c r="D92" s="907"/>
      <c r="E92" s="907"/>
      <c r="F92" s="909"/>
      <c r="G92" s="1055"/>
      <c r="H92" s="907"/>
      <c r="I92" s="1162">
        <f>1/(1-H$13)*H92</f>
        <v>0</v>
      </c>
      <c r="J92" s="1082"/>
      <c r="K92" s="1160">
        <f>IF(E$11&lt;&gt;"",IF(OR(B$11="No Filing Date","Enter Filing Date",E$11&lt;D$11),"Error in Filing Date",IF('R8a - Tax Reconciliation'!B$11="Original Filing",D92-I92,E92-I92)),IF(OR(B$11="No Filing Date","Enter Filing Date"),"Error in Filing Date",IF('R8a - Tax Reconciliation'!B$11="Original Filing",D92-I92,E92-I92)))</f>
        <v>0</v>
      </c>
      <c r="L92" s="1133"/>
      <c r="M92" s="1137"/>
      <c r="N92" s="1191"/>
      <c r="O92" s="1191"/>
      <c r="P92" s="1191"/>
      <c r="Q92" s="1191"/>
    </row>
    <row r="93" spans="1:18" s="1081" customFormat="1">
      <c r="A93" s="1068"/>
      <c r="B93" s="1068"/>
      <c r="C93" s="1068"/>
      <c r="D93" s="1147"/>
      <c r="E93" s="1147"/>
      <c r="F93" s="1083"/>
      <c r="G93" s="1086"/>
      <c r="H93" s="1147"/>
      <c r="I93" s="1083"/>
      <c r="J93" s="1083"/>
      <c r="K93" s="1147"/>
      <c r="L93" s="1139"/>
      <c r="M93" s="1140"/>
      <c r="N93" s="1191"/>
      <c r="O93" s="1191"/>
      <c r="P93" s="1191"/>
      <c r="Q93" s="1191"/>
    </row>
    <row r="94" spans="1:18" s="1081" customFormat="1">
      <c r="A94" s="1127" t="s">
        <v>1696</v>
      </c>
      <c r="B94" s="1155"/>
      <c r="C94" s="1144" t="s">
        <v>1638</v>
      </c>
      <c r="D94" s="1121">
        <f>SUM(D82:D93)</f>
        <v>0</v>
      </c>
      <c r="E94" s="1121">
        <f>SUM(E82:E93)</f>
        <v>0</v>
      </c>
      <c r="F94" s="1156"/>
      <c r="G94" s="1148" t="s">
        <v>1697</v>
      </c>
      <c r="H94" s="1121">
        <f>SUM(H82:H93)</f>
        <v>0</v>
      </c>
      <c r="I94" s="1121">
        <f>SUM(I82:I93)</f>
        <v>0</v>
      </c>
      <c r="J94" s="1146"/>
      <c r="K94" s="1121">
        <f>IF(E$11&lt;&gt;"",IF(OR(B$11="No Filing Date","Enter Filing Date",E$11&lt;D$11),"Error in Filing Date",IF('R8a - Tax Reconciliation'!B$11="Original Filing",D94-I94,E94-I94)),IF(OR(B$11="No Filing Date","Enter Filing Date"),"Error in Filing Date",IF('R8a - Tax Reconciliation'!B$11="Original Filing",D94-I94,E94-I94)))</f>
        <v>0</v>
      </c>
      <c r="L94" s="1133"/>
      <c r="M94" s="1137"/>
      <c r="N94" s="1191"/>
      <c r="O94" s="1191"/>
      <c r="P94" s="1191"/>
      <c r="Q94" s="1191"/>
    </row>
    <row r="95" spans="1:18" s="1081" customFormat="1">
      <c r="A95" s="1157"/>
      <c r="B95" s="1158"/>
      <c r="C95" s="1068"/>
      <c r="D95" s="1083"/>
      <c r="E95" s="1083"/>
      <c r="F95" s="1083"/>
      <c r="G95" s="1083"/>
      <c r="H95" s="1086"/>
      <c r="I95" s="1086"/>
      <c r="J95" s="1086"/>
      <c r="K95" s="1086"/>
      <c r="L95" s="1139"/>
      <c r="M95" s="1140"/>
      <c r="N95" s="1191"/>
      <c r="O95" s="1191"/>
      <c r="P95" s="1191"/>
      <c r="Q95" s="1191"/>
    </row>
    <row r="96" spans="1:18" s="1081" customFormat="1">
      <c r="A96" s="1130" t="s">
        <v>1698</v>
      </c>
      <c r="B96" s="1159"/>
      <c r="C96" s="1135" t="s">
        <v>1638</v>
      </c>
      <c r="D96" s="1121">
        <f>+D94*D13</f>
        <v>0</v>
      </c>
      <c r="E96" s="1121">
        <f>+E94*E13</f>
        <v>0</v>
      </c>
      <c r="F96" s="1082"/>
      <c r="G96" s="1136" t="s">
        <v>1699</v>
      </c>
      <c r="H96" s="1121">
        <f>+H94*H13</f>
        <v>0</v>
      </c>
      <c r="I96" s="1121">
        <f>+I94*I13</f>
        <v>0</v>
      </c>
      <c r="J96" s="1082"/>
      <c r="K96" s="1086"/>
      <c r="L96" s="1086"/>
      <c r="M96" s="1086"/>
      <c r="N96" s="1190"/>
      <c r="O96" s="1190"/>
      <c r="P96" s="1190"/>
      <c r="Q96" s="1190"/>
    </row>
    <row r="97" spans="1:13" s="1136" customFormat="1">
      <c r="H97" s="1167"/>
      <c r="I97" s="1083"/>
    </row>
    <row r="98" spans="1:13">
      <c r="A98" s="1476" t="s">
        <v>1700</v>
      </c>
      <c r="B98" s="1476"/>
      <c r="C98" s="1068" t="s">
        <v>1579</v>
      </c>
      <c r="D98" s="1095">
        <f>INDEX(Data!$D$26:$K$26,MATCH($B$6,Data!$D$25:$K$25,0))</f>
        <v>1.0383269111980469</v>
      </c>
      <c r="E98" s="1095">
        <f>INDEX(Data!$D$26:$K$26,MATCH($B$6,Data!$D$25:$K$25,0))</f>
        <v>1.0383269111980469</v>
      </c>
      <c r="F98" s="1096"/>
      <c r="G98" s="1056" t="s">
        <v>1701</v>
      </c>
      <c r="H98" s="1095">
        <f>INDEX(Data!$D$26:$K$26,MATCH($B$6,Data!$D$25:$K$25,0))</f>
        <v>1.0383269111980469</v>
      </c>
      <c r="I98" s="1095">
        <f>INDEX(Data!$D$26:$K$26,MATCH($B$6,Data!$D$25:$K$25,0))</f>
        <v>1.0383269111980469</v>
      </c>
      <c r="J98" s="1096"/>
      <c r="K98" s="1096"/>
    </row>
    <row r="99" spans="1:13" ht="21" customHeight="1">
      <c r="A99" s="1097" t="s">
        <v>1702</v>
      </c>
      <c r="B99" s="1098"/>
      <c r="C99" s="1131" t="str">
        <f>IF($B$4="ED","20/21 Prices","18/19 Prices")</f>
        <v>18/19 Prices</v>
      </c>
      <c r="D99" s="1099">
        <f>D96/D98</f>
        <v>0</v>
      </c>
      <c r="E99" s="1099">
        <f>E96/E98</f>
        <v>0</v>
      </c>
      <c r="F99" s="1100"/>
      <c r="G99" s="1101" t="s">
        <v>1703</v>
      </c>
      <c r="H99" s="1099">
        <f>H96/H98</f>
        <v>0</v>
      </c>
      <c r="I99" s="1099">
        <f>I96/I98</f>
        <v>0</v>
      </c>
      <c r="J99" s="1100"/>
      <c r="K99" s="1121">
        <f>IF(OR(B$11="No Filing Date","Enter Filing Date"),"Error in Filing Date",IF('R8a - Tax Reconciliation'!B$11="Original Filing",D99-I99,E99-I99))</f>
        <v>0</v>
      </c>
      <c r="M99" s="1143"/>
    </row>
    <row r="100" spans="1:13">
      <c r="C100" s="1102"/>
      <c r="D100" s="1083"/>
      <c r="E100" s="1083"/>
      <c r="F100" s="1083"/>
      <c r="G100" s="1086"/>
      <c r="H100" s="1083"/>
      <c r="I100" s="1103"/>
      <c r="J100" s="1083"/>
      <c r="K100" s="1083"/>
    </row>
    <row r="101" spans="1:13">
      <c r="D101" s="1103"/>
      <c r="E101" s="1103"/>
      <c r="F101" s="1103"/>
      <c r="G101" s="1104"/>
      <c r="H101" s="1103"/>
      <c r="J101" s="1103"/>
      <c r="K101" s="1103"/>
    </row>
  </sheetData>
  <mergeCells count="20">
    <mergeCell ref="A98:B98"/>
    <mergeCell ref="A73:B73"/>
    <mergeCell ref="A36:B36"/>
    <mergeCell ref="A37:B37"/>
    <mergeCell ref="A40:B40"/>
    <mergeCell ref="A42:B42"/>
    <mergeCell ref="A43:B43"/>
    <mergeCell ref="A39:B39"/>
    <mergeCell ref="A72:B72"/>
    <mergeCell ref="A82:B82"/>
    <mergeCell ref="A55:B55"/>
    <mergeCell ref="M8:M9"/>
    <mergeCell ref="A13:B13"/>
    <mergeCell ref="A27:B27"/>
    <mergeCell ref="A28:B28"/>
    <mergeCell ref="A7:B7"/>
    <mergeCell ref="A8:B9"/>
    <mergeCell ref="C8:C9"/>
    <mergeCell ref="G8:G9"/>
    <mergeCell ref="A17:B17"/>
  </mergeCells>
  <pageMargins left="0.23622047244094491" right="0.23622047244094491" top="0.74803149606299213" bottom="0.74803149606299213" header="0.31496062992125984" footer="0.31496062992125984"/>
  <pageSetup paperSize="9" scale="43" fitToHeight="0" orientation="landscape" r:id="rId1"/>
  <headerFooter>
    <oddFooter>&amp;L&amp;F&amp;C_x000D_&amp;1#&amp;"Calibri"&amp;10&amp;K000000 OFFICIAL-InternalOnly&amp;R&amp;D</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3"/>
  <sheetViews>
    <sheetView showGridLines="0" zoomScale="50" zoomScaleNormal="50" workbookViewId="0">
      <pane ySplit="3" topLeftCell="A12" activePane="bottomLeft" state="frozen"/>
      <selection activeCell="B3" sqref="B3:F3"/>
      <selection pane="bottomLeft" activeCell="N44" sqref="N44"/>
    </sheetView>
  </sheetViews>
  <sheetFormatPr defaultRowHeight="13.5"/>
  <cols>
    <col min="1" max="1" width="8.3828125" customWidth="1"/>
    <col min="2" max="2" width="44.4609375" customWidth="1"/>
    <col min="3" max="3" width="15.15234375" customWidth="1"/>
    <col min="4" max="4" width="14.765625" customWidth="1"/>
    <col min="5" max="5" width="14.84375" customWidth="1"/>
    <col min="6" max="6" width="14.3828125" customWidth="1"/>
    <col min="7" max="8" width="11.15234375" customWidth="1"/>
    <col min="9" max="9" width="5" customWidth="1"/>
    <col min="14" max="14" width="13.15234375" customWidth="1"/>
  </cols>
  <sheetData>
    <row r="1" spans="1:15" ht="20">
      <c r="A1" s="1170" t="s">
        <v>185</v>
      </c>
      <c r="B1" s="751"/>
      <c r="C1" s="752"/>
      <c r="D1" s="752"/>
      <c r="E1" s="752"/>
      <c r="F1" s="752"/>
      <c r="G1" s="752"/>
      <c r="H1" s="752"/>
      <c r="I1" s="1179"/>
    </row>
    <row r="2" spans="1:15" ht="20">
      <c r="A2" s="644" t="str">
        <f>Licensee</f>
        <v>NGET (TO)</v>
      </c>
      <c r="B2" s="639"/>
      <c r="C2" s="16"/>
      <c r="D2" s="16"/>
      <c r="E2" s="16"/>
      <c r="F2" s="16"/>
      <c r="G2" s="16"/>
      <c r="H2" s="16"/>
      <c r="I2" s="66"/>
    </row>
    <row r="3" spans="1:15" ht="20">
      <c r="A3" s="639">
        <f>Reporting_Year</f>
        <v>2022</v>
      </c>
      <c r="B3" s="963"/>
      <c r="C3" s="963"/>
      <c r="D3" s="963"/>
      <c r="E3" s="963"/>
      <c r="F3" s="963"/>
      <c r="G3" s="963"/>
      <c r="H3" s="963"/>
      <c r="I3" s="120"/>
    </row>
    <row r="4" spans="1:15" s="2" customFormat="1" ht="12.75" customHeight="1"/>
    <row r="5" spans="1:15" s="2" customFormat="1">
      <c r="B5" s="3"/>
      <c r="C5" s="3"/>
      <c r="D5" s="249" t="str">
        <f t="shared" ref="D5:H5" si="0">IF(D6&lt;=Reporting_Year,"Actuals","Forecast")</f>
        <v>Actuals</v>
      </c>
      <c r="E5" s="249" t="str">
        <f t="shared" si="0"/>
        <v>Forecast</v>
      </c>
      <c r="F5" s="249" t="str">
        <f t="shared" si="0"/>
        <v>Forecast</v>
      </c>
      <c r="G5" s="249" t="str">
        <f t="shared" si="0"/>
        <v>Forecast</v>
      </c>
      <c r="H5" s="249" t="str">
        <f t="shared" si="0"/>
        <v>Forecast</v>
      </c>
    </row>
    <row r="6" spans="1:15" s="2" customFormat="1">
      <c r="D6" s="63">
        <f>'RFPR cover'!$C$6</f>
        <v>2022</v>
      </c>
      <c r="E6" s="64">
        <f>D6+1</f>
        <v>2023</v>
      </c>
      <c r="F6" s="64">
        <f t="shared" ref="F6:H6" si="1">E6+1</f>
        <v>2024</v>
      </c>
      <c r="G6" s="64">
        <f t="shared" si="1"/>
        <v>2025</v>
      </c>
      <c r="H6" s="64">
        <f t="shared" si="1"/>
        <v>2026</v>
      </c>
    </row>
    <row r="7" spans="1:15"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807" t="str">
        <f>RIIO_2_start_date+3&amp;"/"&amp;RIGHT(RIIO_2_start_date+4,2)</f>
        <v>2025/26</v>
      </c>
    </row>
    <row r="8" spans="1:15" s="2" customFormat="1"/>
    <row r="9" spans="1:15" s="2" customFormat="1">
      <c r="A9" s="718" t="s">
        <v>1704</v>
      </c>
      <c r="B9" s="719"/>
      <c r="C9" s="99"/>
      <c r="D9" s="99"/>
      <c r="E9" s="99"/>
      <c r="F9" s="99"/>
      <c r="G9" s="99"/>
      <c r="H9" s="99"/>
    </row>
    <row r="10" spans="1:15" s="2" customFormat="1"/>
    <row r="11" spans="1:15">
      <c r="B11" s="6" t="s">
        <v>1705</v>
      </c>
      <c r="C11" s="76" t="s">
        <v>261</v>
      </c>
      <c r="D11" s="1017">
        <v>300</v>
      </c>
      <c r="E11" s="1017">
        <v>0</v>
      </c>
      <c r="F11" s="1017">
        <v>0</v>
      </c>
      <c r="G11" s="1017">
        <v>0</v>
      </c>
      <c r="H11" s="1017">
        <v>0</v>
      </c>
      <c r="J11" s="2"/>
    </row>
    <row r="12" spans="1:15">
      <c r="B12" s="7" t="s">
        <v>1706</v>
      </c>
      <c r="C12" s="6"/>
      <c r="D12" s="462"/>
      <c r="E12" s="462"/>
      <c r="F12" s="462"/>
      <c r="G12" s="462"/>
      <c r="H12" s="462"/>
      <c r="J12" s="2"/>
    </row>
    <row r="13" spans="1:15">
      <c r="B13" s="183" t="s">
        <v>1606</v>
      </c>
      <c r="C13" s="76" t="s">
        <v>261</v>
      </c>
      <c r="D13" s="1017">
        <v>0</v>
      </c>
      <c r="E13" s="1017">
        <v>0</v>
      </c>
      <c r="F13" s="1017">
        <v>0</v>
      </c>
      <c r="G13" s="1017">
        <v>0</v>
      </c>
      <c r="H13" s="1017">
        <v>0</v>
      </c>
      <c r="J13" s="2"/>
    </row>
    <row r="14" spans="1:15">
      <c r="B14" s="183" t="s">
        <v>1606</v>
      </c>
      <c r="C14" s="76" t="s">
        <v>261</v>
      </c>
      <c r="D14" s="1017">
        <v>0</v>
      </c>
      <c r="E14" s="1017">
        <v>0</v>
      </c>
      <c r="F14" s="1017">
        <v>0</v>
      </c>
      <c r="G14" s="1017">
        <v>0</v>
      </c>
      <c r="H14" s="1017">
        <v>0</v>
      </c>
      <c r="J14" s="2"/>
    </row>
    <row r="15" spans="1:15">
      <c r="B15" s="183" t="s">
        <v>1607</v>
      </c>
      <c r="C15" s="76" t="s">
        <v>261</v>
      </c>
      <c r="D15" s="1017">
        <v>0</v>
      </c>
      <c r="E15" s="1017">
        <v>0</v>
      </c>
      <c r="F15" s="1017">
        <v>0</v>
      </c>
      <c r="G15" s="1017">
        <v>0</v>
      </c>
      <c r="H15" s="1017">
        <v>0</v>
      </c>
      <c r="J15" s="2"/>
      <c r="N15" s="98"/>
    </row>
    <row r="16" spans="1:15">
      <c r="B16" s="6" t="s">
        <v>1707</v>
      </c>
      <c r="C16" s="76" t="s">
        <v>261</v>
      </c>
      <c r="D16" s="461">
        <f>D11-SUM(D13:D15)</f>
        <v>300</v>
      </c>
      <c r="E16" s="461">
        <f t="shared" ref="E16:H16" si="2">E11-SUM(E13:E15)</f>
        <v>0</v>
      </c>
      <c r="F16" s="461">
        <f t="shared" si="2"/>
        <v>0</v>
      </c>
      <c r="G16" s="461">
        <f t="shared" si="2"/>
        <v>0</v>
      </c>
      <c r="H16" s="461">
        <f t="shared" si="2"/>
        <v>0</v>
      </c>
      <c r="J16" s="2"/>
      <c r="O16" s="97"/>
    </row>
    <row r="17" spans="1:14">
      <c r="C17" s="6"/>
      <c r="J17" s="2"/>
      <c r="N17" s="98"/>
    </row>
    <row r="18" spans="1:14">
      <c r="B18" s="6" t="s">
        <v>1708</v>
      </c>
      <c r="C18" s="76" t="s">
        <v>261</v>
      </c>
      <c r="D18" s="1017">
        <v>0</v>
      </c>
      <c r="E18" s="1017">
        <v>0</v>
      </c>
      <c r="F18" s="1017">
        <v>0</v>
      </c>
      <c r="G18" s="1017">
        <v>0</v>
      </c>
      <c r="H18" s="1017">
        <v>0</v>
      </c>
      <c r="J18" s="2"/>
    </row>
    <row r="19" spans="1:14">
      <c r="J19" s="2"/>
    </row>
    <row r="22" spans="1:14">
      <c r="A22" s="718" t="s">
        <v>1709</v>
      </c>
      <c r="B22" s="720"/>
      <c r="C22" s="99"/>
      <c r="D22" s="99"/>
      <c r="E22" s="99"/>
      <c r="F22" s="99"/>
      <c r="G22" s="99"/>
      <c r="H22" s="99"/>
    </row>
    <row r="23" spans="1:14">
      <c r="D23" s="1485" t="str">
        <f>Reporting_Year&amp;" "&amp;"- Actuals"</f>
        <v>2022 - Actuals</v>
      </c>
      <c r="E23" s="1486"/>
      <c r="F23" s="1486"/>
      <c r="G23" s="1486"/>
      <c r="H23" s="1487"/>
    </row>
    <row r="24" spans="1:14">
      <c r="D24" s="997" t="s">
        <v>1710</v>
      </c>
      <c r="E24" s="997" t="s">
        <v>1711</v>
      </c>
      <c r="F24" s="997" t="s">
        <v>1712</v>
      </c>
      <c r="G24" s="997" t="s">
        <v>1713</v>
      </c>
      <c r="H24" s="997" t="s">
        <v>1714</v>
      </c>
    </row>
    <row r="25" spans="1:14" ht="35.15" customHeight="1">
      <c r="C25" t="s">
        <v>1715</v>
      </c>
      <c r="D25" s="998" t="s">
        <v>1716</v>
      </c>
      <c r="E25" s="998" t="s">
        <v>1717</v>
      </c>
      <c r="F25" s="998" t="s">
        <v>1718</v>
      </c>
      <c r="G25" s="998">
        <v>0</v>
      </c>
      <c r="H25" s="998">
        <v>0</v>
      </c>
    </row>
    <row r="26" spans="1:14" ht="44.9" customHeight="1">
      <c r="B26" s="6" t="s">
        <v>1719</v>
      </c>
    </row>
    <row r="27" spans="1:14">
      <c r="B27" t="s">
        <v>1720</v>
      </c>
      <c r="C27" s="76" t="s">
        <v>261</v>
      </c>
      <c r="D27" s="1293">
        <v>0.23</v>
      </c>
      <c r="E27" s="1293">
        <v>0.19928124</v>
      </c>
      <c r="F27" s="1293">
        <v>8.7999999999999995E-2</v>
      </c>
      <c r="G27" s="1293">
        <v>0</v>
      </c>
      <c r="H27" s="1293">
        <v>0</v>
      </c>
    </row>
    <row r="28" spans="1:14">
      <c r="B28" s="89" t="s">
        <v>1721</v>
      </c>
      <c r="C28" s="76" t="s">
        <v>261</v>
      </c>
      <c r="D28" s="1293">
        <v>0.17675729999999998</v>
      </c>
      <c r="E28" s="1293">
        <v>0.11567543</v>
      </c>
      <c r="F28" s="1293">
        <v>3.923074E-2</v>
      </c>
      <c r="G28" s="1293">
        <v>0</v>
      </c>
      <c r="H28" s="1293">
        <v>0</v>
      </c>
    </row>
    <row r="29" spans="1:14">
      <c r="B29" s="89" t="s">
        <v>1607</v>
      </c>
      <c r="C29" s="76" t="s">
        <v>261</v>
      </c>
      <c r="D29" s="1293">
        <v>0</v>
      </c>
      <c r="E29" s="1293">
        <v>0</v>
      </c>
      <c r="F29" s="1293">
        <v>0</v>
      </c>
      <c r="G29" s="1293">
        <v>0</v>
      </c>
      <c r="H29" s="1293">
        <v>0</v>
      </c>
    </row>
    <row r="30" spans="1:14">
      <c r="B30" t="s">
        <v>1722</v>
      </c>
      <c r="C30" s="76" t="s">
        <v>261</v>
      </c>
      <c r="D30" s="1293">
        <v>0</v>
      </c>
      <c r="E30" s="1293">
        <v>0</v>
      </c>
      <c r="F30" s="1293">
        <v>0</v>
      </c>
      <c r="G30" s="1293">
        <v>0</v>
      </c>
      <c r="H30" s="1293">
        <v>0</v>
      </c>
    </row>
    <row r="31" spans="1:14">
      <c r="B31" s="89" t="s">
        <v>1723</v>
      </c>
      <c r="C31" s="76" t="s">
        <v>261</v>
      </c>
      <c r="D31" s="1293">
        <v>0</v>
      </c>
      <c r="E31" s="1293">
        <v>1.2E-2</v>
      </c>
      <c r="F31" s="1293">
        <v>2.2018699999999999E-3</v>
      </c>
      <c r="G31" s="1293">
        <v>0</v>
      </c>
      <c r="H31" s="1293">
        <v>0</v>
      </c>
    </row>
    <row r="32" spans="1:14">
      <c r="B32" s="89" t="s">
        <v>1724</v>
      </c>
      <c r="C32" s="76" t="s">
        <v>261</v>
      </c>
      <c r="D32" s="1293">
        <v>1.0096E-3</v>
      </c>
      <c r="E32" s="1293">
        <v>1.3026400000000001E-3</v>
      </c>
      <c r="F32" s="1293">
        <v>9.4707999999999999E-4</v>
      </c>
      <c r="G32" s="1293">
        <v>0</v>
      </c>
      <c r="H32" s="1293">
        <v>0</v>
      </c>
    </row>
    <row r="33" spans="2:8">
      <c r="B33" t="s">
        <v>1725</v>
      </c>
      <c r="C33" s="76" t="s">
        <v>261</v>
      </c>
      <c r="D33" s="1293">
        <v>4.1399989999999998E-2</v>
      </c>
      <c r="E33" s="1293">
        <v>5.8050029999999996E-2</v>
      </c>
      <c r="F33" s="1293">
        <v>2.7720000000000002E-2</v>
      </c>
      <c r="G33" s="1293">
        <v>0</v>
      </c>
      <c r="H33" s="1293">
        <v>0</v>
      </c>
    </row>
    <row r="34" spans="2:8">
      <c r="B34" s="89" t="s">
        <v>1726</v>
      </c>
      <c r="C34" s="76" t="s">
        <v>261</v>
      </c>
      <c r="D34" s="1293">
        <v>0</v>
      </c>
      <c r="E34" s="1293">
        <v>0.1</v>
      </c>
      <c r="F34" s="1293">
        <v>0</v>
      </c>
      <c r="G34" s="1293">
        <v>0</v>
      </c>
      <c r="H34" s="1293">
        <v>0</v>
      </c>
    </row>
    <row r="35" spans="2:8">
      <c r="B35" s="6" t="s">
        <v>1727</v>
      </c>
      <c r="C35" s="76" t="s">
        <v>261</v>
      </c>
      <c r="D35" s="1294">
        <f>SUM(D27:D34)</f>
        <v>0.44916688999999999</v>
      </c>
      <c r="E35" s="1294">
        <f>SUM(E27:E34)</f>
        <v>0.48630934000000003</v>
      </c>
      <c r="F35" s="1294">
        <f>SUM(F27:F34)</f>
        <v>0.15809968999999999</v>
      </c>
      <c r="G35" s="1294">
        <f>SUM(G27:G34)</f>
        <v>0</v>
      </c>
      <c r="H35" s="1294">
        <f>SUM(H27:H34)</f>
        <v>0</v>
      </c>
    </row>
    <row r="36" spans="2:8">
      <c r="B36" s="6" t="s">
        <v>1728</v>
      </c>
      <c r="C36" s="76" t="s">
        <v>261</v>
      </c>
      <c r="D36" s="1293">
        <v>0.44916688999999999</v>
      </c>
      <c r="E36" s="1293">
        <v>0.48630934000000003</v>
      </c>
      <c r="F36" s="1293">
        <v>0.15809968999999999</v>
      </c>
      <c r="G36" s="1293">
        <v>0</v>
      </c>
      <c r="H36" s="1293">
        <v>0</v>
      </c>
    </row>
    <row r="37" spans="2:8">
      <c r="B37" s="183"/>
      <c r="D37" s="1295"/>
      <c r="E37" s="1295"/>
      <c r="F37" s="1295"/>
      <c r="G37" s="1295"/>
      <c r="H37" s="1295"/>
    </row>
    <row r="38" spans="2:8">
      <c r="B38" s="6" t="s">
        <v>1729</v>
      </c>
      <c r="D38" s="1295"/>
      <c r="E38" s="1295"/>
      <c r="F38" s="1295"/>
      <c r="G38" s="1295"/>
      <c r="H38" s="1295"/>
    </row>
    <row r="39" spans="2:8">
      <c r="B39" t="s">
        <v>1730</v>
      </c>
      <c r="C39" s="76" t="s">
        <v>261</v>
      </c>
      <c r="D39" s="1293">
        <v>0</v>
      </c>
      <c r="E39" s="1293">
        <v>0</v>
      </c>
      <c r="F39" s="1293">
        <v>0</v>
      </c>
      <c r="G39" s="1293">
        <v>0</v>
      </c>
      <c r="H39" s="1293">
        <v>0</v>
      </c>
    </row>
    <row r="40" spans="2:8">
      <c r="B40" s="89" t="s">
        <v>1607</v>
      </c>
      <c r="C40" s="76" t="s">
        <v>261</v>
      </c>
      <c r="D40" s="1293">
        <v>0</v>
      </c>
      <c r="E40" s="1293">
        <v>0</v>
      </c>
      <c r="F40" s="1293">
        <v>0</v>
      </c>
      <c r="G40" s="1293">
        <v>0</v>
      </c>
      <c r="H40" s="1293">
        <v>0</v>
      </c>
    </row>
    <row r="41" spans="2:8">
      <c r="B41" t="s">
        <v>1731</v>
      </c>
      <c r="C41" s="76" t="s">
        <v>261</v>
      </c>
      <c r="D41" s="1293">
        <v>0.11052423102</v>
      </c>
      <c r="E41" s="1293">
        <v>0.16769193671999999</v>
      </c>
      <c r="F41" s="1293">
        <v>9.795520546E-2</v>
      </c>
      <c r="G41" s="1293">
        <v>0</v>
      </c>
      <c r="H41" s="1293">
        <v>0</v>
      </c>
    </row>
    <row r="42" spans="2:8">
      <c r="B42" s="89" t="s">
        <v>1607</v>
      </c>
      <c r="C42" s="76" t="s">
        <v>261</v>
      </c>
      <c r="D42" s="1293">
        <v>0</v>
      </c>
      <c r="E42" s="1293">
        <v>0</v>
      </c>
      <c r="F42" s="1293">
        <v>0</v>
      </c>
      <c r="G42" s="1293">
        <v>0</v>
      </c>
      <c r="H42" s="1293">
        <v>0</v>
      </c>
    </row>
    <row r="43" spans="2:8">
      <c r="B43" s="6" t="s">
        <v>1732</v>
      </c>
      <c r="C43" s="76" t="s">
        <v>261</v>
      </c>
      <c r="D43" s="1296">
        <f t="shared" ref="D43:H43" si="3">SUM(D39:D42)</f>
        <v>0.11052423102</v>
      </c>
      <c r="E43" s="1296">
        <f t="shared" si="3"/>
        <v>0.16769193671999999</v>
      </c>
      <c r="F43" s="1296">
        <f t="shared" si="3"/>
        <v>9.795520546E-2</v>
      </c>
      <c r="G43" s="1296">
        <f t="shared" si="3"/>
        <v>0</v>
      </c>
      <c r="H43" s="1296">
        <f t="shared" si="3"/>
        <v>0</v>
      </c>
    </row>
    <row r="44" spans="2:8">
      <c r="B44" s="6" t="s">
        <v>1728</v>
      </c>
      <c r="C44" s="76" t="s">
        <v>261</v>
      </c>
      <c r="D44" s="1293">
        <v>0.11052423102</v>
      </c>
      <c r="E44" s="1293">
        <v>0.16769193671999999</v>
      </c>
      <c r="F44" s="1293">
        <v>9.795520546E-2</v>
      </c>
      <c r="G44" s="1293">
        <v>0</v>
      </c>
      <c r="H44" s="1293">
        <v>0</v>
      </c>
    </row>
    <row r="45" spans="2:8">
      <c r="D45" s="1295"/>
      <c r="E45" s="1295"/>
      <c r="F45" s="1295"/>
      <c r="G45" s="1295"/>
      <c r="H45" s="1295"/>
    </row>
    <row r="46" spans="2:8">
      <c r="B46" s="6" t="s">
        <v>1733</v>
      </c>
      <c r="C46" s="76" t="s">
        <v>261</v>
      </c>
      <c r="D46" s="1296">
        <f t="shared" ref="D46:H46" si="4">SUM(D35,D43)</f>
        <v>0.55969112101999996</v>
      </c>
      <c r="E46" s="1296">
        <f t="shared" si="4"/>
        <v>0.65400127672000008</v>
      </c>
      <c r="F46" s="1296">
        <f t="shared" si="4"/>
        <v>0.25605489545999999</v>
      </c>
      <c r="G46" s="1296">
        <f t="shared" si="4"/>
        <v>0</v>
      </c>
      <c r="H46" s="1296">
        <f t="shared" si="4"/>
        <v>0</v>
      </c>
    </row>
    <row r="47" spans="2:8">
      <c r="B47" s="6" t="s">
        <v>1734</v>
      </c>
      <c r="C47" s="76" t="s">
        <v>261</v>
      </c>
      <c r="D47" s="1296">
        <f>D36+D44</f>
        <v>0.55969112101999996</v>
      </c>
      <c r="E47" s="1296">
        <f t="shared" ref="E47:H47" si="5">E36+E44</f>
        <v>0.65400127672000008</v>
      </c>
      <c r="F47" s="1296">
        <f t="shared" si="5"/>
        <v>0.25605489545999999</v>
      </c>
      <c r="G47" s="1296">
        <f t="shared" si="5"/>
        <v>0</v>
      </c>
      <c r="H47" s="1296">
        <f t="shared" si="5"/>
        <v>0</v>
      </c>
    </row>
    <row r="48" spans="2:8">
      <c r="D48" s="1295"/>
      <c r="E48" s="1295"/>
      <c r="F48" s="1295"/>
      <c r="G48" s="1295"/>
      <c r="H48" s="1295"/>
    </row>
    <row r="49" spans="2:14">
      <c r="B49" s="6" t="s">
        <v>1735</v>
      </c>
      <c r="D49" s="1295"/>
      <c r="E49" s="1295"/>
      <c r="F49" s="1295"/>
      <c r="G49" s="1295"/>
      <c r="H49" s="1295"/>
    </row>
    <row r="50" spans="2:14">
      <c r="B50" t="s">
        <v>1736</v>
      </c>
      <c r="C50" s="76" t="s">
        <v>1737</v>
      </c>
      <c r="D50" s="1293">
        <v>0</v>
      </c>
      <c r="E50" s="1293">
        <v>0</v>
      </c>
      <c r="F50" s="1293">
        <v>0</v>
      </c>
      <c r="G50" s="1293">
        <v>0</v>
      </c>
      <c r="H50" s="1293">
        <v>0</v>
      </c>
    </row>
    <row r="51" spans="2:14">
      <c r="B51" s="183" t="s">
        <v>1607</v>
      </c>
      <c r="C51" s="76"/>
      <c r="D51" s="1293">
        <v>0</v>
      </c>
      <c r="E51" s="1293">
        <v>0</v>
      </c>
      <c r="F51" s="1293">
        <v>0</v>
      </c>
      <c r="G51" s="1293">
        <v>0</v>
      </c>
      <c r="H51" s="1293">
        <v>0</v>
      </c>
    </row>
    <row r="52" spans="2:14">
      <c r="B52" t="s">
        <v>1738</v>
      </c>
      <c r="C52" s="76" t="s">
        <v>225</v>
      </c>
      <c r="D52" s="1293">
        <v>0</v>
      </c>
      <c r="E52" s="1293">
        <v>0</v>
      </c>
      <c r="F52" s="1293">
        <v>0</v>
      </c>
      <c r="G52" s="1293">
        <v>0</v>
      </c>
      <c r="H52" s="1293">
        <v>0</v>
      </c>
    </row>
    <row r="53" spans="2:14">
      <c r="B53" s="910" t="s">
        <v>1739</v>
      </c>
      <c r="C53" s="76" t="s">
        <v>225</v>
      </c>
      <c r="D53" s="1297">
        <v>0</v>
      </c>
      <c r="E53" s="1297">
        <v>0</v>
      </c>
      <c r="F53" s="1297">
        <v>0</v>
      </c>
      <c r="G53" s="1297">
        <v>0</v>
      </c>
      <c r="H53" s="1297">
        <v>0</v>
      </c>
    </row>
    <row r="54" spans="2:14">
      <c r="B54" s="6" t="s">
        <v>1740</v>
      </c>
      <c r="C54" s="76" t="s">
        <v>261</v>
      </c>
      <c r="D54" s="1293">
        <v>0</v>
      </c>
      <c r="E54" s="1293">
        <v>0</v>
      </c>
      <c r="F54" s="1293">
        <v>0</v>
      </c>
      <c r="G54" s="1293">
        <v>0</v>
      </c>
      <c r="H54" s="1293">
        <v>0</v>
      </c>
    </row>
    <row r="55" spans="2:14">
      <c r="B55" s="910" t="s">
        <v>1741</v>
      </c>
      <c r="C55" s="76" t="s">
        <v>1742</v>
      </c>
      <c r="D55" s="1293">
        <v>0</v>
      </c>
      <c r="E55" s="1293">
        <v>0</v>
      </c>
      <c r="F55" s="1293">
        <v>0</v>
      </c>
      <c r="G55" s="1293">
        <v>0</v>
      </c>
      <c r="H55" s="1293">
        <v>0</v>
      </c>
    </row>
    <row r="56" spans="2:14">
      <c r="B56" s="910" t="s">
        <v>1743</v>
      </c>
      <c r="C56" s="76" t="s">
        <v>1744</v>
      </c>
      <c r="D56" s="1293">
        <v>0</v>
      </c>
      <c r="E56" s="1293">
        <v>0</v>
      </c>
      <c r="F56" s="1293">
        <v>0</v>
      </c>
      <c r="G56" s="1293">
        <v>0</v>
      </c>
      <c r="H56" s="1293">
        <v>0</v>
      </c>
    </row>
    <row r="57" spans="2:14">
      <c r="B57" s="910" t="s">
        <v>1745</v>
      </c>
      <c r="C57" s="76" t="s">
        <v>1742</v>
      </c>
      <c r="D57" s="1293">
        <v>0</v>
      </c>
      <c r="E57" s="1293">
        <v>0</v>
      </c>
      <c r="F57" s="1293">
        <v>0</v>
      </c>
      <c r="G57" s="1293">
        <v>0</v>
      </c>
      <c r="H57" s="1293">
        <v>0</v>
      </c>
    </row>
    <row r="58" spans="2:14">
      <c r="B58" s="6" t="s">
        <v>1746</v>
      </c>
      <c r="C58" s="76" t="s">
        <v>261</v>
      </c>
      <c r="D58" s="1298">
        <f>D56*D57</f>
        <v>0</v>
      </c>
      <c r="E58" s="1298">
        <f t="shared" ref="E58:H58" si="6">E56*E57</f>
        <v>0</v>
      </c>
      <c r="F58" s="1298">
        <f t="shared" si="6"/>
        <v>0</v>
      </c>
      <c r="G58" s="1298">
        <f t="shared" si="6"/>
        <v>0</v>
      </c>
      <c r="H58" s="1298">
        <f t="shared" si="6"/>
        <v>0</v>
      </c>
    </row>
    <row r="59" spans="2:14">
      <c r="C59" s="76"/>
      <c r="D59" s="1295"/>
      <c r="E59" s="1295"/>
      <c r="F59" s="1295"/>
      <c r="G59" s="1295"/>
      <c r="H59" s="1295"/>
    </row>
    <row r="60" spans="2:14">
      <c r="B60" s="6" t="s">
        <v>1747</v>
      </c>
      <c r="C60" s="76" t="s">
        <v>261</v>
      </c>
      <c r="D60" s="1293">
        <v>0</v>
      </c>
      <c r="E60" s="1293">
        <v>0</v>
      </c>
      <c r="F60" s="1293">
        <v>0</v>
      </c>
      <c r="G60" s="1293">
        <v>0</v>
      </c>
      <c r="H60" s="1293">
        <v>0</v>
      </c>
    </row>
    <row r="61" spans="2:14">
      <c r="B61" s="6"/>
      <c r="C61" s="6"/>
      <c r="D61" s="1299"/>
      <c r="E61" s="1299"/>
      <c r="F61" s="1299"/>
      <c r="G61" s="1299"/>
      <c r="H61" s="1299"/>
      <c r="I61" s="6"/>
      <c r="J61" s="6"/>
      <c r="K61" s="6"/>
      <c r="L61" s="6"/>
      <c r="M61" s="6"/>
      <c r="N61" s="6"/>
    </row>
    <row r="62" spans="2:14">
      <c r="B62" s="6" t="s">
        <v>1748</v>
      </c>
      <c r="C62" s="76"/>
      <c r="D62" s="1298">
        <f>D54+D58+D60</f>
        <v>0</v>
      </c>
      <c r="E62" s="1298">
        <f>E54+E58+E60</f>
        <v>0</v>
      </c>
      <c r="F62" s="1298">
        <f>F54+F58+F60</f>
        <v>0</v>
      </c>
      <c r="G62" s="1298">
        <f>G54+G58+G60</f>
        <v>0</v>
      </c>
      <c r="H62" s="1298">
        <f>H54+H58+H60</f>
        <v>0</v>
      </c>
    </row>
    <row r="63" spans="2:14">
      <c r="B63" s="6" t="s">
        <v>1728</v>
      </c>
      <c r="C63" s="76" t="s">
        <v>261</v>
      </c>
      <c r="D63" s="1293">
        <v>0</v>
      </c>
      <c r="E63" s="1293">
        <v>0</v>
      </c>
      <c r="F63" s="1293">
        <v>0</v>
      </c>
      <c r="G63" s="1293">
        <v>0</v>
      </c>
      <c r="H63" s="1293">
        <v>0</v>
      </c>
    </row>
    <row r="64" spans="2:14">
      <c r="B64" s="6"/>
      <c r="C64" s="76"/>
      <c r="D64" s="1299"/>
      <c r="E64" s="1299"/>
      <c r="F64" s="1299"/>
      <c r="G64" s="1299"/>
      <c r="H64" s="1299"/>
      <c r="J64" s="6"/>
      <c r="K64" s="6"/>
    </row>
    <row r="65" spans="1:12">
      <c r="B65" s="6" t="s">
        <v>1749</v>
      </c>
      <c r="C65" s="76" t="s">
        <v>261</v>
      </c>
      <c r="D65" s="1298">
        <f>D46+D62</f>
        <v>0.55969112101999996</v>
      </c>
      <c r="E65" s="1298">
        <f t="shared" ref="E65:H65" si="7">E46+E62</f>
        <v>0.65400127672000008</v>
      </c>
      <c r="F65" s="1298">
        <f t="shared" si="7"/>
        <v>0.25605489545999999</v>
      </c>
      <c r="G65" s="1298">
        <f t="shared" si="7"/>
        <v>0</v>
      </c>
      <c r="H65" s="1298">
        <f t="shared" si="7"/>
        <v>0</v>
      </c>
    </row>
    <row r="66" spans="1:12">
      <c r="B66" s="6" t="s">
        <v>1750</v>
      </c>
      <c r="C66" s="76" t="s">
        <v>261</v>
      </c>
      <c r="D66" s="1298">
        <f>D47+D63</f>
        <v>0.55969112101999996</v>
      </c>
      <c r="E66" s="1298">
        <f t="shared" ref="E66:H66" si="8">E47+E63</f>
        <v>0.65400127672000008</v>
      </c>
      <c r="F66" s="1298">
        <f t="shared" si="8"/>
        <v>0.25605489545999999</v>
      </c>
      <c r="G66" s="1298">
        <f t="shared" si="8"/>
        <v>0</v>
      </c>
      <c r="H66" s="1298">
        <f t="shared" si="8"/>
        <v>0</v>
      </c>
      <c r="J66" s="6"/>
    </row>
    <row r="67" spans="1:12">
      <c r="B67" s="6"/>
      <c r="C67" s="76"/>
      <c r="D67" s="801"/>
      <c r="E67" s="801"/>
      <c r="F67" s="801"/>
      <c r="G67" s="801"/>
      <c r="H67" s="801"/>
      <c r="J67" s="6"/>
    </row>
    <row r="68" spans="1:12">
      <c r="B68" s="6" t="s">
        <v>1751</v>
      </c>
      <c r="C68" s="76"/>
      <c r="D68" s="801"/>
      <c r="E68" s="801"/>
      <c r="F68" s="801"/>
      <c r="G68" s="801"/>
      <c r="H68" s="801"/>
      <c r="J68" s="6"/>
    </row>
    <row r="69" spans="1:12">
      <c r="B69" t="s">
        <v>1752</v>
      </c>
      <c r="C69" s="76"/>
      <c r="D69" s="999">
        <v>11</v>
      </c>
      <c r="E69" s="801"/>
      <c r="F69" s="801"/>
      <c r="G69" s="801"/>
      <c r="H69" s="801"/>
      <c r="J69" s="6"/>
    </row>
    <row r="70" spans="1:12">
      <c r="B70" t="s">
        <v>1753</v>
      </c>
      <c r="C70" s="76"/>
      <c r="D70" s="999">
        <v>8.8000000000000007</v>
      </c>
      <c r="E70" s="801"/>
      <c r="F70" s="801"/>
      <c r="G70" s="801"/>
      <c r="H70" s="801"/>
      <c r="J70" s="6"/>
    </row>
    <row r="71" spans="1:12">
      <c r="B71" t="s">
        <v>1754</v>
      </c>
      <c r="C71" s="76"/>
      <c r="D71" s="999">
        <v>6.9</v>
      </c>
      <c r="E71" s="801"/>
      <c r="F71" s="801"/>
      <c r="G71" s="801"/>
      <c r="H71" s="801"/>
      <c r="J71" s="6"/>
    </row>
    <row r="72" spans="1:12">
      <c r="B72" s="6"/>
      <c r="C72" s="76"/>
      <c r="D72" s="801"/>
      <c r="E72" s="801"/>
      <c r="F72" s="801"/>
      <c r="G72" s="801"/>
      <c r="H72" s="801"/>
      <c r="J72" s="6"/>
    </row>
    <row r="73" spans="1:12">
      <c r="A73" s="696" t="s">
        <v>1755</v>
      </c>
      <c r="B73" s="6"/>
      <c r="C73" s="76"/>
      <c r="D73" s="76"/>
      <c r="E73" s="76"/>
      <c r="F73" s="76"/>
      <c r="G73" s="76"/>
      <c r="H73" s="76"/>
      <c r="I73" s="76"/>
      <c r="J73" s="76"/>
      <c r="K73" s="76"/>
      <c r="L73" s="76"/>
    </row>
    <row r="74" spans="1:12">
      <c r="A74" s="696" t="s">
        <v>1756</v>
      </c>
      <c r="B74" s="6"/>
      <c r="C74" s="6"/>
      <c r="D74" s="6"/>
      <c r="E74" s="6"/>
      <c r="F74" s="6"/>
      <c r="G74" s="6"/>
      <c r="H74" s="6"/>
      <c r="I74" s="6"/>
      <c r="J74" s="6"/>
    </row>
    <row r="75" spans="1:12">
      <c r="A75" s="696"/>
      <c r="B75" s="6"/>
      <c r="C75" s="6"/>
      <c r="D75" s="6"/>
      <c r="E75" s="6"/>
      <c r="F75" s="6"/>
      <c r="G75" s="6"/>
      <c r="H75" s="6"/>
      <c r="I75" s="6"/>
      <c r="J75" s="6"/>
    </row>
    <row r="76" spans="1:12">
      <c r="B76" s="6" t="s">
        <v>1757</v>
      </c>
    </row>
    <row r="77" spans="1:12">
      <c r="B77" s="6"/>
    </row>
    <row r="78" spans="1:12" ht="41.5" customHeight="1">
      <c r="B78" s="1381" t="s">
        <v>1758</v>
      </c>
      <c r="C78" s="1488"/>
      <c r="D78" s="1488"/>
      <c r="E78" s="1488"/>
      <c r="F78" s="1488"/>
      <c r="G78" s="1488"/>
      <c r="H78" s="1489"/>
    </row>
    <row r="79" spans="1:12">
      <c r="B79" s="1206"/>
      <c r="C79" s="1205"/>
      <c r="D79" s="709"/>
      <c r="E79" s="683"/>
      <c r="F79" s="683"/>
      <c r="G79" s="683"/>
      <c r="H79" s="710"/>
    </row>
    <row r="80" spans="1:12">
      <c r="B80" s="1206"/>
      <c r="C80" s="1205"/>
      <c r="D80" s="709"/>
      <c r="E80" s="683"/>
      <c r="F80" s="683"/>
      <c r="G80" s="683"/>
      <c r="H80" s="710"/>
    </row>
    <row r="81" spans="2:8">
      <c r="B81" s="1206"/>
      <c r="C81" s="1205"/>
      <c r="D81" s="709"/>
      <c r="E81" s="683"/>
      <c r="F81" s="683"/>
      <c r="G81" s="683"/>
      <c r="H81" s="710"/>
    </row>
    <row r="82" spans="2:8">
      <c r="B82" s="1206"/>
      <c r="C82" s="1205"/>
      <c r="D82" s="709"/>
      <c r="E82" s="683"/>
      <c r="F82" s="683"/>
      <c r="G82" s="683"/>
      <c r="H82" s="710"/>
    </row>
    <row r="83" spans="2:8">
      <c r="B83" s="1207"/>
      <c r="C83" s="1034"/>
      <c r="D83" s="969"/>
      <c r="E83" s="970"/>
      <c r="F83" s="970"/>
      <c r="G83" s="970"/>
      <c r="H83" s="712"/>
    </row>
  </sheetData>
  <sheetProtection sheet="1" formatCells="0" formatColumns="0" formatRows="0" insertColumns="0" insertRows="0" insertHyperlinks="0" deleteColumns="0" deleteRows="0" sort="0" autoFilter="0" pivotTables="0"/>
  <mergeCells count="2">
    <mergeCell ref="D23:H23"/>
    <mergeCell ref="B78:H78"/>
  </mergeCells>
  <phoneticPr fontId="265" type="noConversion"/>
  <conditionalFormatting sqref="D5:G6">
    <cfRule type="expression" dxfId="17" priority="35">
      <formula>AND(D$5="Actuals",E$5="N/A")</formula>
    </cfRule>
  </conditionalFormatting>
  <conditionalFormatting sqref="D5:H6 D39:H42 D50:H58 D63:H63 D65:H72 D27:H36 D44:H44">
    <cfRule type="expression" dxfId="16" priority="27">
      <formula>D$5="N/A"</formula>
    </cfRule>
  </conditionalFormatting>
  <conditionalFormatting sqref="D20:H20">
    <cfRule type="expression" priority="21">
      <formula>D$5="N/A"</formula>
    </cfRule>
  </conditionalFormatting>
  <conditionalFormatting sqref="H5:H6">
    <cfRule type="expression" dxfId="15" priority="274">
      <formula>AND(H$5="Actuals",#REF!="N/A")</formula>
    </cfRule>
  </conditionalFormatting>
  <conditionalFormatting sqref="D62:H62 D60:H60">
    <cfRule type="expression" dxfId="14" priority="13">
      <formula>D$5="N/A"</formula>
    </cfRule>
  </conditionalFormatting>
  <conditionalFormatting sqref="D7:H7">
    <cfRule type="expression" dxfId="13" priority="10">
      <formula>AND(D$5="Actuals",E$5="Forecast")</formula>
    </cfRule>
  </conditionalFormatting>
  <conditionalFormatting sqref="D11:H11">
    <cfRule type="expression" dxfId="12" priority="7">
      <formula>D$5="Forecast"</formula>
    </cfRule>
  </conditionalFormatting>
  <conditionalFormatting sqref="D13:H15">
    <cfRule type="expression" dxfId="11" priority="4">
      <formula>D$5="Forecast"</formula>
    </cfRule>
  </conditionalFormatting>
  <conditionalFormatting sqref="D18:H18">
    <cfRule type="expression" dxfId="10" priority="2">
      <formula>D$5="Forecast"</formula>
    </cfRule>
  </conditionalFormatting>
  <conditionalFormatting sqref="D16:H16">
    <cfRule type="expression" dxfId="9" priority="1">
      <formula>D$5="Forecast"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61" activePane="bottomLeft" state="frozen"/>
      <selection activeCell="D15" sqref="D15"/>
      <selection pane="bottomLeft" activeCell="E78" sqref="E78"/>
    </sheetView>
  </sheetViews>
  <sheetFormatPr defaultRowHeight="13.5"/>
  <cols>
    <col min="1" max="1" width="8.3828125" customWidth="1"/>
    <col min="2" max="2" width="82" customWidth="1"/>
    <col min="3" max="3" width="14.15234375" customWidth="1"/>
    <col min="4" max="8" width="11.15234375" customWidth="1"/>
    <col min="9" max="9" width="6.61328125" bestFit="1" customWidth="1"/>
  </cols>
  <sheetData>
    <row r="1" spans="1:10" ht="20">
      <c r="A1" s="1170" t="s">
        <v>1759</v>
      </c>
      <c r="B1" s="751"/>
      <c r="C1" s="752"/>
      <c r="D1" s="752"/>
      <c r="E1" s="752"/>
      <c r="F1" s="752"/>
      <c r="G1" s="752"/>
      <c r="H1" s="752"/>
      <c r="I1" s="1179"/>
    </row>
    <row r="2" spans="1:10" ht="20">
      <c r="A2" s="644" t="str">
        <f>Licensee</f>
        <v>NGET (TO)</v>
      </c>
      <c r="B2" s="639"/>
      <c r="C2" s="16"/>
      <c r="D2" s="16"/>
      <c r="E2" s="16"/>
      <c r="F2" s="16"/>
      <c r="G2" s="16"/>
      <c r="H2" s="16"/>
      <c r="I2" s="66"/>
    </row>
    <row r="3" spans="1:10" ht="20">
      <c r="A3" s="639">
        <f>Reporting_Year</f>
        <v>2022</v>
      </c>
      <c r="B3" s="977"/>
      <c r="C3" s="963"/>
      <c r="D3" s="963"/>
      <c r="E3" s="963"/>
      <c r="F3" s="963"/>
      <c r="G3" s="963"/>
      <c r="H3" s="963"/>
      <c r="I3" s="120"/>
    </row>
    <row r="4" spans="1:10" s="2" customFormat="1" ht="12.75" customHeight="1">
      <c r="B4" s="3"/>
      <c r="C4"/>
      <c r="D4" s="124"/>
      <c r="E4" s="124"/>
    </row>
    <row r="5" spans="1:10" s="2" customFormat="1" ht="12.75" customHeight="1">
      <c r="B5" s="3"/>
      <c r="C5"/>
      <c r="D5" s="1000" t="str">
        <f t="shared" ref="D5:H5" si="0">IF(D6&lt;=Reporting_Year,"Actuals","Forecast")</f>
        <v>Actuals</v>
      </c>
      <c r="E5" s="1000" t="str">
        <f t="shared" si="0"/>
        <v>Forecast</v>
      </c>
      <c r="F5" s="1000" t="str">
        <f t="shared" si="0"/>
        <v>Forecast</v>
      </c>
      <c r="G5" s="1000" t="str">
        <f t="shared" si="0"/>
        <v>Forecast</v>
      </c>
      <c r="H5" s="1000" t="str">
        <f t="shared" si="0"/>
        <v>Forecast</v>
      </c>
      <c r="I5" s="1"/>
    </row>
    <row r="6" spans="1:10" s="2" customFormat="1">
      <c r="C6"/>
      <c r="D6" s="807">
        <f>'RFPR cover'!$C$6</f>
        <v>2022</v>
      </c>
      <c r="E6" s="807">
        <f>D6+1</f>
        <v>2023</v>
      </c>
      <c r="F6" s="807">
        <f t="shared" ref="F6:H6" si="1">E6+1</f>
        <v>2024</v>
      </c>
      <c r="G6" s="807">
        <f t="shared" si="1"/>
        <v>2025</v>
      </c>
      <c r="H6" s="807">
        <f t="shared" si="1"/>
        <v>2026</v>
      </c>
      <c r="I6" s="1"/>
    </row>
    <row r="7" spans="1:10"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807" t="str">
        <f>RIIO_2_start_date+3&amp;"/"&amp;RIGHT(RIIO_2_start_date+4,2)</f>
        <v>2025/26</v>
      </c>
      <c r="I7" s="1"/>
    </row>
    <row r="8" spans="1:10" s="2" customFormat="1">
      <c r="I8" s="1"/>
    </row>
    <row r="9" spans="1:10" s="2" customFormat="1">
      <c r="B9" s="62" t="s">
        <v>1760</v>
      </c>
      <c r="C9" s="74"/>
      <c r="D9" s="41"/>
      <c r="E9" s="41"/>
      <c r="F9" s="41"/>
      <c r="G9" s="41"/>
      <c r="H9" s="41"/>
      <c r="I9" s="1"/>
    </row>
    <row r="10" spans="1:10" s="2" customFormat="1">
      <c r="B10" s="5"/>
      <c r="C10" s="70"/>
      <c r="I10" s="1"/>
    </row>
    <row r="11" spans="1:10" s="2" customFormat="1">
      <c r="B11" s="5"/>
      <c r="C11" s="70"/>
      <c r="I11" s="1"/>
    </row>
    <row r="12" spans="1:10">
      <c r="B12" s="6" t="s">
        <v>1761</v>
      </c>
      <c r="C12" s="76" t="s">
        <v>261</v>
      </c>
      <c r="D12" s="1001">
        <v>39.348487464381392</v>
      </c>
      <c r="E12" s="1001"/>
      <c r="F12" s="1001"/>
      <c r="G12" s="1001"/>
      <c r="H12" s="1001"/>
      <c r="I12" s="1"/>
      <c r="J12" s="2"/>
    </row>
    <row r="13" spans="1:10">
      <c r="B13" s="8" t="s">
        <v>1762</v>
      </c>
      <c r="D13" s="462"/>
      <c r="E13" s="462"/>
      <c r="F13" s="462"/>
      <c r="G13" s="462"/>
      <c r="H13" s="462"/>
      <c r="J13" s="2"/>
    </row>
    <row r="14" spans="1:10">
      <c r="B14" t="s">
        <v>1763</v>
      </c>
      <c r="C14" s="76" t="s">
        <v>261</v>
      </c>
      <c r="D14" s="1001">
        <v>39.348487464381392</v>
      </c>
      <c r="E14" s="1001"/>
      <c r="F14" s="1001"/>
      <c r="G14" s="1001"/>
      <c r="H14" s="1001"/>
      <c r="I14" s="1"/>
      <c r="J14" s="2"/>
    </row>
    <row r="15" spans="1:10">
      <c r="B15" t="s">
        <v>1764</v>
      </c>
      <c r="C15" s="76" t="s">
        <v>261</v>
      </c>
      <c r="D15" s="1001">
        <v>0</v>
      </c>
      <c r="E15" s="1001"/>
      <c r="F15" s="1001"/>
      <c r="G15" s="1001"/>
      <c r="H15" s="1001"/>
      <c r="I15" s="1"/>
      <c r="J15" s="2"/>
    </row>
    <row r="16" spans="1:10">
      <c r="D16" s="462"/>
      <c r="E16" s="462"/>
      <c r="F16" s="462"/>
      <c r="G16" s="462"/>
      <c r="H16" s="462"/>
      <c r="I16" s="1"/>
      <c r="J16" s="2"/>
    </row>
    <row r="17" spans="2:10">
      <c r="D17" s="462"/>
      <c r="E17" s="462"/>
      <c r="F17" s="462"/>
      <c r="G17" s="462"/>
      <c r="H17" s="462"/>
      <c r="I17" s="1"/>
      <c r="J17" s="2"/>
    </row>
    <row r="18" spans="2:10">
      <c r="B18" t="s">
        <v>1763</v>
      </c>
      <c r="C18" s="95" t="str">
        <f>Data!$C$9</f>
        <v>£m 18/19</v>
      </c>
      <c r="D18" s="971">
        <f t="shared" ref="D18:H18" si="2">D$14/INDEX(real_to_nominal_CF,MATCH(D6,calendar_year,0))</f>
        <v>36.273123962432599</v>
      </c>
      <c r="E18" s="971">
        <f t="shared" si="2"/>
        <v>0</v>
      </c>
      <c r="F18" s="971">
        <f t="shared" si="2"/>
        <v>0</v>
      </c>
      <c r="G18" s="971">
        <f t="shared" si="2"/>
        <v>0</v>
      </c>
      <c r="H18" s="971">
        <f t="shared" si="2"/>
        <v>0</v>
      </c>
      <c r="I18" s="1"/>
      <c r="J18" s="2"/>
    </row>
    <row r="19" spans="2:10">
      <c r="D19" s="462"/>
      <c r="E19" s="462"/>
      <c r="F19" s="462"/>
      <c r="G19" s="462"/>
      <c r="H19" s="462"/>
      <c r="I19" s="1"/>
      <c r="J19" s="2"/>
    </row>
    <row r="20" spans="2:10">
      <c r="D20" s="462"/>
      <c r="E20" s="462"/>
      <c r="F20" s="462"/>
      <c r="G20" s="462"/>
      <c r="H20" s="462"/>
      <c r="I20" s="1"/>
      <c r="J20" s="2"/>
    </row>
    <row r="21" spans="2:10" s="2" customFormat="1">
      <c r="B21" s="6" t="s">
        <v>1765</v>
      </c>
      <c r="C21" s="95" t="str">
        <f>Data!$C$9</f>
        <v>£m 18/19</v>
      </c>
      <c r="D21" s="1002">
        <v>31.5</v>
      </c>
      <c r="E21" s="1002"/>
      <c r="F21" s="1002"/>
      <c r="G21" s="1002"/>
      <c r="H21" s="1002"/>
      <c r="I21" s="1"/>
    </row>
    <row r="22" spans="2:10" s="2" customFormat="1">
      <c r="B22" t="s">
        <v>1766</v>
      </c>
      <c r="C22" s="95" t="str">
        <f>Data!$C$9</f>
        <v>£m 18/19</v>
      </c>
      <c r="D22" s="988">
        <v>-5.6</v>
      </c>
      <c r="E22" s="988"/>
      <c r="F22" s="988"/>
      <c r="G22" s="988"/>
      <c r="H22" s="988"/>
      <c r="I22" s="1"/>
    </row>
    <row r="23" spans="2:10" s="2" customFormat="1">
      <c r="B23" s="6" t="s">
        <v>1767</v>
      </c>
      <c r="C23" s="95" t="str">
        <f>Data!$C$9</f>
        <v>£m 18/19</v>
      </c>
      <c r="D23" s="971">
        <f>D21-D22</f>
        <v>37.1</v>
      </c>
      <c r="E23" s="971">
        <f t="shared" ref="E23:H23" si="3">E21-E22</f>
        <v>0</v>
      </c>
      <c r="F23" s="971">
        <f t="shared" si="3"/>
        <v>0</v>
      </c>
      <c r="G23" s="971">
        <f t="shared" si="3"/>
        <v>0</v>
      </c>
      <c r="H23" s="971">
        <f t="shared" si="3"/>
        <v>0</v>
      </c>
      <c r="I23" s="1"/>
    </row>
    <row r="24" spans="2:10" s="2" customFormat="1">
      <c r="B24" s="6"/>
      <c r="C24" s="6"/>
      <c r="D24" s="6"/>
      <c r="E24" s="6"/>
      <c r="F24" s="6"/>
      <c r="G24" s="6"/>
      <c r="H24" s="6"/>
      <c r="I24" s="1"/>
    </row>
    <row r="25" spans="2:10" s="2" customFormat="1">
      <c r="B25" s="6"/>
      <c r="C25" s="6"/>
      <c r="D25" s="1490" t="s">
        <v>1768</v>
      </c>
      <c r="E25" s="6"/>
      <c r="F25" s="6"/>
      <c r="G25" s="6"/>
      <c r="H25" s="6"/>
      <c r="I25" s="1"/>
    </row>
    <row r="26" spans="2:10" s="2" customFormat="1" ht="12.75" customHeight="1">
      <c r="B26" s="6"/>
      <c r="C26" s="6"/>
      <c r="D26" s="1491"/>
      <c r="E26" s="6"/>
      <c r="F26" s="6"/>
      <c r="G26" s="6"/>
      <c r="H26" s="6"/>
      <c r="I26" s="1"/>
    </row>
    <row r="27" spans="2:10">
      <c r="C27" s="6"/>
      <c r="D27" s="1492"/>
      <c r="E27" s="6"/>
      <c r="I27" s="1"/>
    </row>
    <row r="28" spans="2:10">
      <c r="B28" s="6" t="s">
        <v>1769</v>
      </c>
      <c r="C28" s="6"/>
      <c r="D28" s="1003">
        <v>43555</v>
      </c>
      <c r="I28" s="1"/>
    </row>
    <row r="29" spans="2:10">
      <c r="B29" s="6"/>
      <c r="C29" s="6"/>
      <c r="D29" s="23"/>
      <c r="E29" s="24"/>
      <c r="F29" s="24"/>
      <c r="I29" s="1"/>
    </row>
    <row r="30" spans="2:10">
      <c r="B30" t="s">
        <v>1627</v>
      </c>
      <c r="C30" s="6"/>
      <c r="D30" s="1208">
        <v>43555</v>
      </c>
      <c r="E30" s="24"/>
      <c r="F30" s="24"/>
      <c r="I30" s="1"/>
    </row>
    <row r="31" spans="2:10">
      <c r="C31" s="6"/>
      <c r="D31" s="23"/>
      <c r="E31" s="24"/>
      <c r="F31" s="24"/>
      <c r="I31" s="1"/>
    </row>
    <row r="32" spans="2:10">
      <c r="B32" s="6"/>
      <c r="D32" s="178"/>
      <c r="E32" s="24"/>
      <c r="F32" s="24"/>
      <c r="I32" s="1"/>
    </row>
    <row r="33" spans="2:9">
      <c r="B33" t="s">
        <v>1770</v>
      </c>
      <c r="C33" s="1048" t="str">
        <f>"£m "&amp;$D$30</f>
        <v>£m 43555</v>
      </c>
      <c r="D33" s="988">
        <v>300.22987840000002</v>
      </c>
      <c r="I33" s="1"/>
    </row>
    <row r="34" spans="2:9">
      <c r="B34" t="s">
        <v>1771</v>
      </c>
      <c r="C34" s="1048" t="str">
        <f>"£m "&amp;$D$30</f>
        <v>£m 43555</v>
      </c>
      <c r="D34" s="988">
        <v>3080.6701216000001</v>
      </c>
      <c r="I34" s="1"/>
    </row>
    <row r="35" spans="2:9">
      <c r="C35" s="178"/>
      <c r="D35" s="462"/>
      <c r="I35" s="1"/>
    </row>
    <row r="36" spans="2:9">
      <c r="B36" t="s">
        <v>1772</v>
      </c>
      <c r="C36" s="1048" t="str">
        <f>"£m "&amp;$D$30</f>
        <v>£m 43555</v>
      </c>
      <c r="D36" s="988">
        <v>301.8</v>
      </c>
      <c r="I36" s="1"/>
    </row>
    <row r="37" spans="2:9">
      <c r="B37" t="s">
        <v>1773</v>
      </c>
      <c r="C37" s="1048" t="str">
        <f>"£m "&amp;$D$30</f>
        <v>£m 43555</v>
      </c>
      <c r="D37" s="988">
        <v>2841.6999999999994</v>
      </c>
      <c r="I37" s="1"/>
    </row>
    <row r="38" spans="2:9">
      <c r="C38" s="178"/>
      <c r="D38" s="462"/>
      <c r="I38" s="1"/>
    </row>
    <row r="39" spans="2:9">
      <c r="B39" s="25" t="s">
        <v>1774</v>
      </c>
      <c r="C39" s="1048" t="str">
        <f>"£m "&amp;$D$30</f>
        <v>£m 43555</v>
      </c>
      <c r="D39" s="971">
        <f>D33-D36</f>
        <v>-1.5701215999999931</v>
      </c>
      <c r="I39" s="1"/>
    </row>
    <row r="40" spans="2:9">
      <c r="B40" s="25" t="s">
        <v>1775</v>
      </c>
      <c r="C40" s="1048" t="str">
        <f>"£m "&amp;$D$30</f>
        <v>£m 43555</v>
      </c>
      <c r="D40" s="971">
        <f>D34-D37</f>
        <v>238.97012160000077</v>
      </c>
      <c r="I40" s="1"/>
    </row>
    <row r="41" spans="2:9">
      <c r="C41" s="178"/>
      <c r="D41" s="462"/>
      <c r="I41" s="1"/>
    </row>
    <row r="42" spans="2:9">
      <c r="B42" t="s">
        <v>1776</v>
      </c>
      <c r="C42" s="1048" t="str">
        <f>"£m "&amp;$D$30</f>
        <v>£m 43555</v>
      </c>
      <c r="D42" s="988">
        <v>170.60093998192599</v>
      </c>
      <c r="I42" s="1"/>
    </row>
    <row r="43" spans="2:9">
      <c r="B43" t="s">
        <v>1777</v>
      </c>
      <c r="C43" s="1048" t="str">
        <f>"£m "&amp;$D$30</f>
        <v>£m 43555</v>
      </c>
      <c r="D43" s="988">
        <v>-1.1121017469578001</v>
      </c>
      <c r="I43" s="1"/>
    </row>
    <row r="44" spans="2:9">
      <c r="I44" s="1"/>
    </row>
    <row r="45" spans="2:9">
      <c r="I45" s="1"/>
    </row>
    <row r="46" spans="2:9">
      <c r="I46" s="1"/>
    </row>
    <row r="47" spans="2:9">
      <c r="B47" s="62" t="s">
        <v>1778</v>
      </c>
      <c r="C47" s="74"/>
      <c r="D47" s="41"/>
      <c r="E47" s="41"/>
      <c r="F47" s="41"/>
      <c r="G47" s="41"/>
      <c r="H47" s="41"/>
      <c r="I47" s="1"/>
    </row>
    <row r="48" spans="2:9">
      <c r="I48" s="1"/>
    </row>
    <row r="49" spans="1:9">
      <c r="I49" s="1"/>
    </row>
    <row r="50" spans="1:9">
      <c r="I50" s="1"/>
    </row>
    <row r="51" spans="1:9">
      <c r="A51" s="2"/>
      <c r="B51" s="3"/>
      <c r="C51" s="3"/>
      <c r="D51" s="1000" t="str">
        <f t="shared" ref="D51:H51" si="4">IF(D52&lt;=Reporting_Year,"Actuals","Forecast")</f>
        <v>Actuals</v>
      </c>
      <c r="E51" s="1000" t="str">
        <f t="shared" si="4"/>
        <v>Forecast</v>
      </c>
      <c r="F51" s="1000" t="str">
        <f t="shared" si="4"/>
        <v>Forecast</v>
      </c>
      <c r="G51" s="1000" t="str">
        <f t="shared" si="4"/>
        <v>Forecast</v>
      </c>
      <c r="H51" s="1000" t="str">
        <f t="shared" si="4"/>
        <v>Forecast</v>
      </c>
      <c r="I51" s="1"/>
    </row>
    <row r="52" spans="1:9">
      <c r="A52" s="2"/>
      <c r="B52" s="2"/>
      <c r="C52" s="6"/>
      <c r="D52" s="807">
        <f>'RFPR cover'!$C$6</f>
        <v>2022</v>
      </c>
      <c r="E52" s="807">
        <f t="shared" ref="E52:H52" si="5">D52+1</f>
        <v>2023</v>
      </c>
      <c r="F52" s="807">
        <f t="shared" si="5"/>
        <v>2024</v>
      </c>
      <c r="G52" s="807">
        <f t="shared" si="5"/>
        <v>2025</v>
      </c>
      <c r="H52" s="807">
        <f t="shared" si="5"/>
        <v>2026</v>
      </c>
      <c r="I52" s="1"/>
    </row>
    <row r="53" spans="1:9">
      <c r="D53" s="463"/>
      <c r="E53" s="463"/>
      <c r="F53" s="463"/>
      <c r="G53" s="463"/>
      <c r="H53" s="463"/>
      <c r="I53" s="1"/>
    </row>
    <row r="54" spans="1:9">
      <c r="B54" s="5" t="s">
        <v>1779</v>
      </c>
      <c r="C54" s="95" t="str">
        <f>Data!$C$9</f>
        <v>£m 18/19</v>
      </c>
      <c r="D54" s="1004">
        <f>(D$62+D$67)/INDEX(real_to_nominal_CF,MATCH('R10 - Pensions &amp; Oth Activities'!D52,calendar_year,0))</f>
        <v>0</v>
      </c>
      <c r="E54" s="1004">
        <f>(E$62+E$67)/INDEX(real_to_nominal_CF,MATCH('R10 - Pensions &amp; Oth Activities'!E52,calendar_year,0))</f>
        <v>0</v>
      </c>
      <c r="F54" s="1004">
        <f>(F$62+F$67)/INDEX(real_to_nominal_CF,MATCH('R10 - Pensions &amp; Oth Activities'!F52,calendar_year,0))</f>
        <v>0</v>
      </c>
      <c r="G54" s="1004">
        <f>(G$62+G$67)/INDEX(real_to_nominal_CF,MATCH('R10 - Pensions &amp; Oth Activities'!G52,calendar_year,0))</f>
        <v>0</v>
      </c>
      <c r="H54" s="1004">
        <f>(H$62+H$67)/INDEX(real_to_nominal_CF,MATCH('R10 - Pensions &amp; Oth Activities'!H52,calendar_year,0))</f>
        <v>0</v>
      </c>
      <c r="I54" s="1"/>
    </row>
    <row r="55" spans="1:9">
      <c r="D55" s="463"/>
      <c r="E55" s="463"/>
      <c r="F55" s="463"/>
      <c r="G55" s="463"/>
      <c r="H55" s="463"/>
    </row>
    <row r="56" spans="1:9">
      <c r="B56" s="6" t="s">
        <v>1780</v>
      </c>
      <c r="D56" s="463"/>
      <c r="E56" s="463"/>
      <c r="F56" s="463"/>
      <c r="G56" s="463"/>
      <c r="H56" s="463"/>
    </row>
    <row r="57" spans="1:9">
      <c r="B57" s="1060" t="s">
        <v>1781</v>
      </c>
      <c r="C57" s="76" t="s">
        <v>261</v>
      </c>
      <c r="D57" s="999">
        <v>0</v>
      </c>
      <c r="E57" s="999">
        <v>0</v>
      </c>
      <c r="F57" s="999">
        <v>0</v>
      </c>
      <c r="G57" s="999">
        <v>0</v>
      </c>
      <c r="H57" s="999">
        <v>0</v>
      </c>
    </row>
    <row r="58" spans="1:9">
      <c r="B58" s="1060" t="s">
        <v>1781</v>
      </c>
      <c r="C58" s="76" t="s">
        <v>261</v>
      </c>
      <c r="D58" s="999">
        <v>0</v>
      </c>
      <c r="E58" s="999">
        <v>0</v>
      </c>
      <c r="F58" s="999">
        <v>0</v>
      </c>
      <c r="G58" s="999">
        <v>0</v>
      </c>
      <c r="H58" s="999">
        <v>0</v>
      </c>
    </row>
    <row r="59" spans="1:9">
      <c r="B59" s="1060" t="s">
        <v>1607</v>
      </c>
      <c r="C59" s="76" t="s">
        <v>261</v>
      </c>
      <c r="D59" s="999">
        <v>0</v>
      </c>
      <c r="E59" s="999">
        <v>0</v>
      </c>
      <c r="F59" s="999">
        <v>0</v>
      </c>
      <c r="G59" s="999">
        <v>0</v>
      </c>
      <c r="H59" s="999">
        <v>0</v>
      </c>
    </row>
    <row r="60" spans="1:9">
      <c r="B60" s="6" t="s">
        <v>1782</v>
      </c>
      <c r="C60" s="76" t="s">
        <v>261</v>
      </c>
      <c r="D60" s="1004">
        <f t="shared" ref="D60:H60" si="6">SUM(D57:D59)</f>
        <v>0</v>
      </c>
      <c r="E60" s="1004">
        <f t="shared" si="6"/>
        <v>0</v>
      </c>
      <c r="F60" s="1004">
        <f t="shared" si="6"/>
        <v>0</v>
      </c>
      <c r="G60" s="1004">
        <f t="shared" si="6"/>
        <v>0</v>
      </c>
      <c r="H60" s="1004">
        <f t="shared" si="6"/>
        <v>0</v>
      </c>
    </row>
    <row r="61" spans="1:9">
      <c r="B61" s="2" t="s">
        <v>1783</v>
      </c>
      <c r="C61" s="76" t="s">
        <v>261</v>
      </c>
      <c r="D61" s="999">
        <v>0</v>
      </c>
      <c r="E61" s="999">
        <v>0</v>
      </c>
      <c r="F61" s="999">
        <v>0</v>
      </c>
      <c r="G61" s="999">
        <v>0</v>
      </c>
      <c r="H61" s="999">
        <v>0</v>
      </c>
    </row>
    <row r="62" spans="1:9">
      <c r="B62" s="5" t="s">
        <v>1784</v>
      </c>
      <c r="C62" s="76" t="s">
        <v>261</v>
      </c>
      <c r="D62" s="1004">
        <f t="shared" ref="D62:H62" si="7">D60-D61</f>
        <v>0</v>
      </c>
      <c r="E62" s="1004">
        <f t="shared" si="7"/>
        <v>0</v>
      </c>
      <c r="F62" s="1004">
        <f t="shared" si="7"/>
        <v>0</v>
      </c>
      <c r="G62" s="1004">
        <f t="shared" si="7"/>
        <v>0</v>
      </c>
      <c r="H62" s="1004">
        <f t="shared" si="7"/>
        <v>0</v>
      </c>
    </row>
    <row r="64" spans="1:9">
      <c r="B64" s="6" t="s">
        <v>1785</v>
      </c>
      <c r="D64" s="463"/>
      <c r="E64" s="463"/>
      <c r="F64" s="463"/>
      <c r="G64" s="463"/>
      <c r="H64" s="463"/>
    </row>
    <row r="65" spans="2:8">
      <c r="B65" s="1060" t="s">
        <v>1786</v>
      </c>
      <c r="C65" s="76" t="s">
        <v>261</v>
      </c>
      <c r="D65" s="999">
        <v>0</v>
      </c>
      <c r="E65" s="999">
        <v>0</v>
      </c>
      <c r="F65" s="999">
        <v>0</v>
      </c>
      <c r="G65" s="999">
        <v>0</v>
      </c>
      <c r="H65" s="999">
        <v>0</v>
      </c>
    </row>
    <row r="66" spans="2:8">
      <c r="B66" s="2" t="s">
        <v>1783</v>
      </c>
      <c r="C66" s="76" t="s">
        <v>261</v>
      </c>
      <c r="D66" s="999">
        <v>0</v>
      </c>
      <c r="E66" s="999">
        <v>0</v>
      </c>
      <c r="F66" s="999">
        <v>0</v>
      </c>
      <c r="G66" s="999">
        <v>0</v>
      </c>
      <c r="H66" s="999">
        <v>0</v>
      </c>
    </row>
    <row r="67" spans="2:8">
      <c r="B67" s="5" t="s">
        <v>1787</v>
      </c>
      <c r="C67" s="76" t="s">
        <v>261</v>
      </c>
      <c r="D67" s="1004">
        <f t="shared" ref="D67:H67" si="8">D65-D66</f>
        <v>0</v>
      </c>
      <c r="E67" s="1004">
        <f t="shared" si="8"/>
        <v>0</v>
      </c>
      <c r="F67" s="1004">
        <f t="shared" si="8"/>
        <v>0</v>
      </c>
      <c r="G67" s="1004">
        <f t="shared" si="8"/>
        <v>0</v>
      </c>
      <c r="H67" s="1004">
        <f t="shared" si="8"/>
        <v>0</v>
      </c>
    </row>
  </sheetData>
  <sheetProtection algorithmName="SHA-512" hashValue="XrIsmaDErHdk7dnPZd7S7S1mqK6dnJts0o71o09bmE6tqj7q7/2kR6XppDopkk4sH6IpJTajVN9maL/8O0y0HQ==" saltValue="Io2sTqUZ5mJZcyBmAJkAfQ==" spinCount="100000" sheet="1" formatCells="0" formatColumns="0" formatRows="0" insertColumns="0" insertRows="0" insertHyperlinks="0" deleteColumns="0" deleteRows="0" sort="0" autoFilter="0" pivotTables="0"/>
  <mergeCells count="1">
    <mergeCell ref="D25:D27"/>
  </mergeCells>
  <conditionalFormatting sqref="D6:G6 D52:G52">
    <cfRule type="expression" dxfId="8" priority="20">
      <formula>AND(D$4="Actuals",E$4="Forecast")</formula>
    </cfRule>
  </conditionalFormatting>
  <conditionalFormatting sqref="D12:H12 D14:H15">
    <cfRule type="expression" dxfId="7" priority="14">
      <formula>D$5="Forecast"</formula>
    </cfRule>
    <cfRule type="expression" dxfId="6" priority="15">
      <formula>D$5="Actuals"</formula>
    </cfRule>
  </conditionalFormatting>
  <conditionalFormatting sqref="D5:G6 D51:G52 I5:I12 I14:I54">
    <cfRule type="expression" dxfId="5" priority="13">
      <formula>AND(D$5="Actuals",E$5="Forecast")</formula>
    </cfRule>
  </conditionalFormatting>
  <conditionalFormatting sqref="D25">
    <cfRule type="expression" dxfId="4" priority="10">
      <formula>AND(E$4="Actuals",F$4="Forecast")</formula>
    </cfRule>
  </conditionalFormatting>
  <conditionalFormatting sqref="H6 H52">
    <cfRule type="expression" dxfId="3" priority="266">
      <formula>AND(H$4="Actuals",#REF!="Forecast")</formula>
    </cfRule>
  </conditionalFormatting>
  <conditionalFormatting sqref="H5:H6 H51:H52">
    <cfRule type="expression" dxfId="2" priority="274">
      <formula>AND(H$5="Actuals",#REF!="Forecast")</formula>
    </cfRule>
  </conditionalFormatting>
  <conditionalFormatting sqref="D7:H7">
    <cfRule type="expression" dxfId="1" priority="1">
      <formula>AND(D$5="Actuals",E$5="Forecast")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9" ma:contentTypeDescription="Create a new document." ma:contentTypeScope="" ma:versionID="6811627abaa663e3023643538cbf30d8">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4509142accae030eefe6dfb23268b26f"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umber"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umber" ma:index="8" nillable="true" ma:displayName="Number" ma:format="Dropdown" ma:internalName="Number" ma:percentage="FALSE">
      <xsd:simpleType>
        <xsd:restriction base="dms:Number"/>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93aaca9-7bf0-4da7-adb9-6d7ac16f023e}"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344a50-20ee-46b1-93e0-1faae7350029">
      <Terms xmlns="http://schemas.microsoft.com/office/infopath/2007/PartnerControls"/>
    </lcf76f155ced4ddcb4097134ff3c332f>
    <TaxCatchAll xmlns="cadce026-d35b-4a62-a2ee-1436bb44fb55" xsi:nil="true"/>
    <SharedWithUsers xmlns="66e1bbde-16dd-49de-9a92-988d359cd6e4">
      <UserInfo>
        <DisplayName>Chiara Oppo</DisplayName>
        <AccountId>1309</AccountId>
        <AccountType/>
      </UserInfo>
    </SharedWithUsers>
    <Number xmlns="28344a50-20ee-46b1-93e0-1faae7350029" xsi:nil="true"/>
  </documentManagement>
</p:properties>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0040F8F5-06F2-4177-B558-05AF27EB3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85FE4-1466-4BF7-8FA9-67F63A3D57B8}">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6e1bbde-16dd-49de-9a92-988d359cd6e4"/>
    <ds:schemaRef ds:uri="28344a50-20ee-46b1-93e0-1faae7350029"/>
    <ds:schemaRef ds:uri="http://purl.org/dc/terms/"/>
    <ds:schemaRef ds:uri="http://schemas.microsoft.com/office/infopath/2007/PartnerControls"/>
    <ds:schemaRef ds:uri="cadce026-d35b-4a62-a2ee-1436bb44fb55"/>
    <ds:schemaRef ds:uri="http://www.w3.org/XML/1998/namespace"/>
    <ds:schemaRef ds:uri="http://purl.org/dc/dcmitype/"/>
  </ds:schemaRefs>
</ds:datastoreItem>
</file>

<file path=customXml/itemProps3.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69</vt:i4>
      </vt:variant>
    </vt:vector>
  </HeadingPairs>
  <TitlesOfParts>
    <vt:vector size="86"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Baker2, Adam</cp:lastModifiedBy>
  <cp:revision/>
  <dcterms:created xsi:type="dcterms:W3CDTF">2018-06-13T08:32:09Z</dcterms:created>
  <dcterms:modified xsi:type="dcterms:W3CDTF">2022-08-30T12:10:49Z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0x010100951C4DF7D45DB248AC86FE0097C440F5</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ies>
</file>